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orge\Desktop\SEMINARIO EXCEL\"/>
    </mc:Choice>
  </mc:AlternateContent>
  <xr:revisionPtr revIDLastSave="0" documentId="8_{836396BE-02A2-405D-A4BC-A7C1F7A4BAE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SALDOS DEUDA" sheetId="8" r:id="rId1"/>
    <sheet name="RESUMEN 1994-2019" sheetId="11" r:id="rId2"/>
    <sheet name="RESUMEN 2020-2024" sheetId="12" r:id="rId3"/>
    <sheet name="GRÁFICAS AL 2014" sheetId="9" r:id="rId4"/>
    <sheet name="GRÁFICAS 2019" sheetId="10" r:id="rId5"/>
  </sheets>
  <definedNames>
    <definedName name="_xlnm.Print_Area" localSheetId="1">'RESUMEN 1994-2019'!$D$2:$J$36</definedName>
    <definedName name="_xlnm.Print_Area" localSheetId="0">'SALDOS DEUDA'!$AI$3:$AN$16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2" l="1"/>
  <c r="C10" i="12"/>
  <c r="C9" i="12"/>
  <c r="C8" i="12"/>
  <c r="E7" i="12"/>
  <c r="E9" i="12" s="1"/>
  <c r="C7" i="12"/>
  <c r="F4" i="12"/>
  <c r="G4" i="12" s="1"/>
  <c r="H4" i="12" s="1"/>
  <c r="I4" i="12" s="1"/>
  <c r="J4" i="12" s="1"/>
  <c r="K4" i="12" s="1"/>
  <c r="L4" i="12" s="1"/>
  <c r="I3" i="12"/>
  <c r="F10" i="12" s="1"/>
  <c r="AG15" i="8"/>
  <c r="AG12" i="8"/>
  <c r="C10" i="11"/>
  <c r="AN15" i="8"/>
  <c r="AM15" i="8"/>
  <c r="AN10" i="8"/>
  <c r="AN9" i="8"/>
  <c r="AN11" i="8" s="1"/>
  <c r="AE11" i="8"/>
  <c r="AF11" i="8"/>
  <c r="AB11" i="8"/>
  <c r="AC11" i="8"/>
  <c r="AD11" i="8"/>
  <c r="G4" i="11"/>
  <c r="H4" i="11"/>
  <c r="I4" i="11" s="1"/>
  <c r="J4" i="11" s="1"/>
  <c r="K4" i="11" s="1"/>
  <c r="L4" i="11" s="1"/>
  <c r="F4" i="11"/>
  <c r="E7" i="11"/>
  <c r="E9" i="11" s="1"/>
  <c r="I3" i="11"/>
  <c r="F10" i="11" s="1"/>
  <c r="C8" i="11"/>
  <c r="C9" i="11"/>
  <c r="C7" i="11"/>
  <c r="AM10" i="8"/>
  <c r="AM9" i="8"/>
  <c r="W11" i="8"/>
  <c r="W22" i="8" s="1"/>
  <c r="AG10" i="8"/>
  <c r="AG9" i="8"/>
  <c r="AG38" i="8"/>
  <c r="AG23" i="8"/>
  <c r="AL23" i="8"/>
  <c r="V15" i="8"/>
  <c r="U15" i="8"/>
  <c r="T15" i="8"/>
  <c r="AL10" i="8"/>
  <c r="AL9" i="8"/>
  <c r="AG20" i="8"/>
  <c r="S15" i="8"/>
  <c r="R15" i="8"/>
  <c r="S11" i="8"/>
  <c r="T8" i="8" s="1"/>
  <c r="T11" i="8" s="1"/>
  <c r="R11" i="8"/>
  <c r="R12" i="8" s="1"/>
  <c r="AG13" i="8"/>
  <c r="AI9" i="8" s="1"/>
  <c r="AO9" i="8" s="1"/>
  <c r="M15" i="8"/>
  <c r="N15" i="8"/>
  <c r="O15" i="8"/>
  <c r="P15" i="8"/>
  <c r="Q15" i="8"/>
  <c r="H15" i="8"/>
  <c r="I15" i="8"/>
  <c r="J15" i="8"/>
  <c r="K15" i="8"/>
  <c r="L15" i="8"/>
  <c r="C15" i="8"/>
  <c r="D15" i="8"/>
  <c r="E15" i="8"/>
  <c r="F15" i="8"/>
  <c r="G15" i="8"/>
  <c r="G11" i="8"/>
  <c r="H8" i="8" s="1"/>
  <c r="H11" i="8" s="1"/>
  <c r="B11" i="8"/>
  <c r="C8" i="8" s="1"/>
  <c r="C11" i="8" s="1"/>
  <c r="L11" i="8"/>
  <c r="L22" i="8" s="1"/>
  <c r="Q11" i="8"/>
  <c r="Q22" i="8" s="1"/>
  <c r="M11" i="8"/>
  <c r="M22" i="8" s="1"/>
  <c r="M12" i="8"/>
  <c r="AJ10" i="8"/>
  <c r="B15" i="8"/>
  <c r="K25" i="8"/>
  <c r="E25" i="8"/>
  <c r="O25" i="8"/>
  <c r="AI23" i="8"/>
  <c r="AJ23" i="8"/>
  <c r="AK23" i="8"/>
  <c r="AK10" i="8"/>
  <c r="AK9" i="8"/>
  <c r="P11" i="8"/>
  <c r="P12" i="8" s="1"/>
  <c r="E11" i="8"/>
  <c r="F8" i="8" s="1"/>
  <c r="F11" i="8" s="1"/>
  <c r="AJ9" i="8"/>
  <c r="AI10" i="8"/>
  <c r="AO10" i="8" s="1"/>
  <c r="N11" i="8"/>
  <c r="N12" i="8" s="1"/>
  <c r="O11" i="8"/>
  <c r="O22" i="8" s="1"/>
  <c r="G10" i="12" l="1"/>
  <c r="E8" i="12"/>
  <c r="H10" i="12"/>
  <c r="Q12" i="8"/>
  <c r="E8" i="11"/>
  <c r="E11" i="11" s="1"/>
  <c r="F7" i="11" s="1"/>
  <c r="C11" i="11"/>
  <c r="AM11" i="8"/>
  <c r="G12" i="8"/>
  <c r="R22" i="8"/>
  <c r="AI11" i="8"/>
  <c r="AG11" i="8"/>
  <c r="AK11" i="8"/>
  <c r="AK25" i="8"/>
  <c r="B12" i="8"/>
  <c r="X8" i="8"/>
  <c r="X11" i="8" s="1"/>
  <c r="X22" i="8" s="1"/>
  <c r="O12" i="8"/>
  <c r="AI15" i="8"/>
  <c r="B22" i="8"/>
  <c r="G22" i="8"/>
  <c r="L12" i="8"/>
  <c r="AL15" i="8"/>
  <c r="P22" i="8"/>
  <c r="AL11" i="8"/>
  <c r="AJ15" i="8"/>
  <c r="AK29" i="8"/>
  <c r="AK30" i="8" s="1"/>
  <c r="S22" i="8"/>
  <c r="AJ11" i="8"/>
  <c r="AK15" i="8"/>
  <c r="S12" i="8"/>
  <c r="T22" i="8"/>
  <c r="T12" i="8"/>
  <c r="U8" i="8"/>
  <c r="U11" i="8" s="1"/>
  <c r="F22" i="8"/>
  <c r="F12" i="8"/>
  <c r="C12" i="8"/>
  <c r="D8" i="8"/>
  <c r="D11" i="8" s="1"/>
  <c r="C22" i="8"/>
  <c r="I8" i="8"/>
  <c r="I11" i="8" s="1"/>
  <c r="H12" i="8"/>
  <c r="H22" i="8"/>
  <c r="G10" i="11"/>
  <c r="H10" i="11" s="1"/>
  <c r="I10" i="11" s="1"/>
  <c r="J10" i="11" s="1"/>
  <c r="K10" i="11" s="1"/>
  <c r="L10" i="11" s="1"/>
  <c r="AI14" i="8"/>
  <c r="E22" i="8"/>
  <c r="N22" i="8"/>
  <c r="E12" i="8"/>
  <c r="E11" i="12" l="1"/>
  <c r="F7" i="12" s="1"/>
  <c r="I10" i="12"/>
  <c r="J10" i="12" s="1"/>
  <c r="K10" i="12" s="1"/>
  <c r="L10" i="12" s="1"/>
  <c r="AO11" i="8"/>
  <c r="F9" i="11"/>
  <c r="F8" i="11"/>
  <c r="Y8" i="8"/>
  <c r="Y11" i="8" s="1"/>
  <c r="Y22" i="8" s="1"/>
  <c r="AL29" i="8"/>
  <c r="AJ14" i="8"/>
  <c r="AK14" i="8" s="1"/>
  <c r="AL14" i="8" s="1"/>
  <c r="AM14" i="8" s="1"/>
  <c r="AN14" i="8" s="1"/>
  <c r="Z11" i="8"/>
  <c r="I22" i="8"/>
  <c r="J8" i="8"/>
  <c r="J11" i="8" s="1"/>
  <c r="I12" i="8"/>
  <c r="D22" i="8"/>
  <c r="D12" i="8"/>
  <c r="M10" i="11"/>
  <c r="AG39" i="8"/>
  <c r="V8" i="8"/>
  <c r="V11" i="8" s="1"/>
  <c r="U12" i="8"/>
  <c r="U22" i="8"/>
  <c r="F9" i="12" l="1"/>
  <c r="F8" i="12"/>
  <c r="M10" i="12"/>
  <c r="F11" i="11"/>
  <c r="G7" i="11" s="1"/>
  <c r="G8" i="11" s="1"/>
  <c r="K8" i="8"/>
  <c r="K11" i="8" s="1"/>
  <c r="J12" i="8"/>
  <c r="J22" i="8"/>
  <c r="AA11" i="8"/>
  <c r="Z22" i="8"/>
  <c r="V12" i="8"/>
  <c r="V22" i="8"/>
  <c r="F11" i="12" l="1"/>
  <c r="G7" i="12" s="1"/>
  <c r="G9" i="11"/>
  <c r="G11" i="11" s="1"/>
  <c r="H7" i="11" s="1"/>
  <c r="K22" i="8"/>
  <c r="K12" i="8"/>
  <c r="G9" i="12" l="1"/>
  <c r="G8" i="12"/>
  <c r="H8" i="11"/>
  <c r="H9" i="11"/>
  <c r="G11" i="12" l="1"/>
  <c r="H7" i="12" s="1"/>
  <c r="H11" i="11"/>
  <c r="I7" i="11" s="1"/>
  <c r="I8" i="11" s="1"/>
  <c r="H8" i="12" l="1"/>
  <c r="H9" i="12"/>
  <c r="H11" i="12"/>
  <c r="I7" i="12" s="1"/>
  <c r="I9" i="11"/>
  <c r="I11" i="11" s="1"/>
  <c r="J7" i="11" s="1"/>
  <c r="I8" i="12" l="1"/>
  <c r="I9" i="12"/>
  <c r="J8" i="11"/>
  <c r="J11" i="11" s="1"/>
  <c r="K7" i="11" s="1"/>
  <c r="J9" i="11"/>
  <c r="I11" i="12" l="1"/>
  <c r="J7" i="12" s="1"/>
  <c r="J8" i="12"/>
  <c r="J9" i="12"/>
  <c r="K8" i="11"/>
  <c r="K9" i="11"/>
  <c r="J11" i="12" l="1"/>
  <c r="K7" i="12" s="1"/>
  <c r="K8" i="12"/>
  <c r="K11" i="12" s="1"/>
  <c r="L7" i="12" s="1"/>
  <c r="K9" i="12"/>
  <c r="K11" i="11"/>
  <c r="L7" i="11" s="1"/>
  <c r="L8" i="11" s="1"/>
  <c r="M8" i="11" s="1"/>
  <c r="L8" i="12" l="1"/>
  <c r="M8" i="12" s="1"/>
  <c r="L9" i="12"/>
  <c r="M9" i="12" s="1"/>
  <c r="L9" i="11"/>
  <c r="M9" i="11" s="1"/>
  <c r="L11" i="12" l="1"/>
  <c r="L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8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Jorge Karica:
</t>
        </r>
        <r>
          <rPr>
            <sz val="8"/>
            <color indexed="8"/>
            <rFont val="Times New Roman"/>
            <family val="1"/>
          </rPr>
          <t>EXCLUYE 89.0 MIL POR AJUSTE AL BID</t>
        </r>
      </text>
    </comment>
    <comment ref="G8" authorId="0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 xml:space="preserve">Jorge Karica:
</t>
        </r>
        <r>
          <rPr>
            <sz val="8"/>
            <color indexed="8"/>
            <rFont val="Times New Roman"/>
            <family val="1"/>
          </rPr>
          <t>AJUSTE DE 180.0 MIL FONDO DE PREINVERSIÓN</t>
        </r>
      </text>
    </comment>
  </commentList>
</comments>
</file>

<file path=xl/sharedStrings.xml><?xml version="1.0" encoding="utf-8"?>
<sst xmlns="http://schemas.openxmlformats.org/spreadsheetml/2006/main" count="100" uniqueCount="67">
  <si>
    <t>MENOS</t>
  </si>
  <si>
    <t>EN MILES DE BALBOAS</t>
  </si>
  <si>
    <t xml:space="preserve">    AUMENTO PERÍODO</t>
  </si>
  <si>
    <t>DEUDA SECTOR PÚBLICO</t>
  </si>
  <si>
    <t>TOTAL</t>
  </si>
  <si>
    <t>1995-1999</t>
  </si>
  <si>
    <t>2000-2004</t>
  </si>
  <si>
    <t>SALDO AL 1 DE ENERO</t>
  </si>
  <si>
    <t>NUEVAS OBLIGACIONES</t>
  </si>
  <si>
    <t>AMORTIZACIONES</t>
  </si>
  <si>
    <t>SALDO AL 31 DE DICIEMBRE</t>
  </si>
  <si>
    <t xml:space="preserve">    AUMENTO O DISMINUCIÓN</t>
  </si>
  <si>
    <t xml:space="preserve">    AJUSTE EFECTUADO</t>
  </si>
  <si>
    <t>SALDO REEVALUADO</t>
  </si>
  <si>
    <t>SUB PRÉSTAMOS ENTRE EL GOBIERNO</t>
  </si>
  <si>
    <t>Y EL SECTOR DESCENTRALIZADO</t>
  </si>
  <si>
    <t>SALDO NETO AL 31 DE DICIEMBRE</t>
  </si>
  <si>
    <t>INTERESES Y COMISIONES PAGADAS</t>
  </si>
  <si>
    <t>DEUDA PER CAPITA</t>
  </si>
  <si>
    <t>2005-2009</t>
  </si>
  <si>
    <t>PROMEDIO INTERESES X AÑO</t>
  </si>
  <si>
    <t>BALLADARES</t>
  </si>
  <si>
    <t>MOSCOSO</t>
  </si>
  <si>
    <t>TORRIJOS</t>
  </si>
  <si>
    <t>SERVICIO DE LA DEUDA PUBLICA</t>
  </si>
  <si>
    <t>AÑOS 1994-2009</t>
  </si>
  <si>
    <t>2010-2014</t>
  </si>
  <si>
    <t>MARTINELLI</t>
  </si>
  <si>
    <t>(P)  CGR</t>
  </si>
  <si>
    <t>SEGÚN MEF 2012</t>
  </si>
  <si>
    <t>DIFER HOJA</t>
  </si>
  <si>
    <t xml:space="preserve">PREPARADO POR: </t>
  </si>
  <si>
    <t>JORGE KARICA CASTILLO</t>
  </si>
  <si>
    <t>TOTALES</t>
  </si>
  <si>
    <t>MOVIMIENTO DE LA DEUDA DEL SECTOR PÚBLICO. 1994 AL 2014</t>
  </si>
  <si>
    <t>2015-2019</t>
  </si>
  <si>
    <t>RICARDO MARTINELLI BERROCAL</t>
  </si>
  <si>
    <t>JUAN CARLOS VARELA RODRÍGUEZ</t>
  </si>
  <si>
    <t>VARELA</t>
  </si>
  <si>
    <t>ENDARA</t>
  </si>
  <si>
    <t>MONTO MILLONES</t>
  </si>
  <si>
    <t>SALDOS FINAL DE PERÍODO</t>
  </si>
  <si>
    <t>INCREMENTO</t>
  </si>
  <si>
    <t>SALDO INICIAL</t>
  </si>
  <si>
    <t>DEUDA</t>
  </si>
  <si>
    <t>INTERES</t>
  </si>
  <si>
    <t>AMORTIZACIÓN</t>
  </si>
  <si>
    <t>NUEVO SALDO</t>
  </si>
  <si>
    <t>TASA INTERÉS</t>
  </si>
  <si>
    <t>COMPROMISOS</t>
  </si>
  <si>
    <t>PIB NACIONAL</t>
  </si>
  <si>
    <t>ANÁLISIS DE LA DEUDA PÚBLICAPANAMEÑA (UN ENFOQUE)</t>
  </si>
  <si>
    <t>NUEVOS COMPROMISOS DE DEUDA</t>
  </si>
  <si>
    <t>PORCENTAJE DE AMORTIZACIÓN</t>
  </si>
  <si>
    <t>PORCENTAJE DE INCREMENTO DEL PIB</t>
  </si>
  <si>
    <t>MONTO PORCENTAJE DEL PIB</t>
  </si>
  <si>
    <t>MONTO DEUDA</t>
  </si>
  <si>
    <t>GRAFICAS DEL COMPORTAMIENTO DE LA DEUDA PÚBLICA DE BALLADARES A MARTINELLI</t>
  </si>
  <si>
    <t>NITO CORTIZO</t>
  </si>
  <si>
    <t>2020-2024</t>
  </si>
  <si>
    <t>CORTIZO</t>
  </si>
  <si>
    <t>CONCEPTO</t>
  </si>
  <si>
    <t>NUEVOS COMPROMISOS</t>
  </si>
  <si>
    <t>SALDO PERIODO</t>
  </si>
  <si>
    <t>DEUDA ACUMULADA</t>
  </si>
  <si>
    <t>SERVICIO DE LA DEUDA</t>
  </si>
  <si>
    <t>PROYECCIÓN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</si>
</sst>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#.00"/>
    <numFmt numFmtId="165" formatCode="_ * #,##0_ ;_ * \-#,##0_ ;_ * &quot;-&quot;_ ;_ @_ "/>
    <numFmt numFmtId="166" formatCode="_-* #,##0.00\ _P_t_s_-;\-* #,##0.00\ _P_t_s_-;_-* &quot;-&quot;??\ _P_t_s_-;_-@_-"/>
    <numFmt numFmtId="167" formatCode="_([$€]* #,##0.00_);_([$€]* \(#,##0.00\);_([$€]* &quot;-&quot;??_);_(@_)"/>
    <numFmt numFmtId="168" formatCode="_(&quot;$&quot;* #,##0.00_);_(&quot;$&quot;* \(#,##0.00\);_(&quot;$&quot;* &quot;-&quot;??_);_(@_)"/>
    <numFmt numFmtId="169" formatCode="0.000_)"/>
  </numFmts>
  <fonts count="27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2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name val="Helv"/>
    </font>
    <font>
      <b/>
      <sz val="8"/>
      <name val="Arial Black"/>
      <family val="2"/>
    </font>
    <font>
      <b/>
      <sz val="11"/>
      <name val="Arial"/>
      <family val="2"/>
    </font>
    <font>
      <sz val="9"/>
      <name val="Arial Black"/>
      <family val="2"/>
    </font>
    <font>
      <sz val="8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5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1" fillId="0" borderId="0"/>
    <xf numFmtId="0" fontId="10" fillId="0" borderId="0"/>
    <xf numFmtId="37" fontId="12" fillId="0" borderId="0"/>
    <xf numFmtId="0" fontId="7" fillId="0" borderId="0"/>
    <xf numFmtId="0" fontId="7" fillId="0" borderId="0"/>
    <xf numFmtId="37" fontId="12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22" fillId="0" borderId="0"/>
    <xf numFmtId="0" fontId="7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0" fontId="13" fillId="0" borderId="0"/>
    <xf numFmtId="0" fontId="1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7" fillId="0" borderId="0" applyNumberFormat="0" applyFill="0" applyBorder="0" applyAlignment="0" applyProtection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22" fillId="0" borderId="0"/>
    <xf numFmtId="169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8">
    <xf numFmtId="0" fontId="0" fillId="0" borderId="0" xfId="0"/>
    <xf numFmtId="3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3" fontId="0" fillId="0" borderId="2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/>
    <xf numFmtId="3" fontId="2" fillId="4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0" fillId="5" borderId="2" xfId="0" applyNumberFormat="1" applyFill="1" applyBorder="1"/>
    <xf numFmtId="3" fontId="0" fillId="5" borderId="1" xfId="0" applyNumberFormat="1" applyFill="1" applyBorder="1"/>
    <xf numFmtId="3" fontId="0" fillId="6" borderId="2" xfId="0" applyNumberFormat="1" applyFill="1" applyBorder="1"/>
    <xf numFmtId="3" fontId="0" fillId="6" borderId="1" xfId="0" applyNumberFormat="1" applyFill="1" applyBorder="1"/>
    <xf numFmtId="3" fontId="0" fillId="7" borderId="2" xfId="0" applyNumberFormat="1" applyFill="1" applyBorder="1"/>
    <xf numFmtId="3" fontId="0" fillId="7" borderId="1" xfId="0" applyNumberFormat="1" applyFill="1" applyBorder="1"/>
    <xf numFmtId="0" fontId="1" fillId="0" borderId="3" xfId="0" applyFont="1" applyBorder="1" applyAlignment="1">
      <alignment horizontal="center"/>
    </xf>
    <xf numFmtId="3" fontId="1" fillId="5" borderId="1" xfId="0" applyNumberFormat="1" applyFont="1" applyFill="1" applyBorder="1"/>
    <xf numFmtId="3" fontId="1" fillId="6" borderId="1" xfId="0" applyNumberFormat="1" applyFont="1" applyFill="1" applyBorder="1"/>
    <xf numFmtId="3" fontId="1" fillId="7" borderId="1" xfId="0" applyNumberFormat="1" applyFont="1" applyFill="1" applyBorder="1"/>
    <xf numFmtId="3" fontId="0" fillId="8" borderId="2" xfId="0" applyNumberFormat="1" applyFill="1" applyBorder="1"/>
    <xf numFmtId="3" fontId="0" fillId="8" borderId="1" xfId="0" applyNumberFormat="1" applyFill="1" applyBorder="1"/>
    <xf numFmtId="0" fontId="14" fillId="9" borderId="4" xfId="0" applyFont="1" applyFill="1" applyBorder="1"/>
    <xf numFmtId="3" fontId="14" fillId="9" borderId="4" xfId="0" applyNumberFormat="1" applyFont="1" applyFill="1" applyBorder="1"/>
    <xf numFmtId="0" fontId="2" fillId="9" borderId="1" xfId="0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10" borderId="4" xfId="0" applyNumberFormat="1" applyFont="1" applyFill="1" applyBorder="1"/>
    <xf numFmtId="3" fontId="1" fillId="11" borderId="4" xfId="0" applyNumberFormat="1" applyFont="1" applyFill="1" applyBorder="1"/>
    <xf numFmtId="0" fontId="2" fillId="0" borderId="0" xfId="0" applyFont="1" applyAlignment="1">
      <alignment horizontal="center"/>
    </xf>
    <xf numFmtId="3" fontId="0" fillId="0" borderId="4" xfId="0" applyNumberFormat="1" applyBorder="1"/>
    <xf numFmtId="3" fontId="8" fillId="0" borderId="5" xfId="0" applyNumberFormat="1" applyFont="1" applyBorder="1"/>
    <xf numFmtId="3" fontId="8" fillId="0" borderId="5" xfId="6" applyNumberFormat="1" applyFont="1" applyBorder="1"/>
    <xf numFmtId="4" fontId="0" fillId="0" borderId="0" xfId="0" applyNumberFormat="1"/>
    <xf numFmtId="4" fontId="8" fillId="0" borderId="5" xfId="4" applyNumberFormat="1" applyFont="1" applyBorder="1"/>
    <xf numFmtId="4" fontId="9" fillId="0" borderId="5" xfId="0" applyNumberFormat="1" applyFont="1" applyBorder="1"/>
    <xf numFmtId="3" fontId="8" fillId="12" borderId="5" xfId="0" applyNumberFormat="1" applyFont="1" applyFill="1" applyBorder="1"/>
    <xf numFmtId="3" fontId="8" fillId="12" borderId="5" xfId="6" applyNumberFormat="1" applyFont="1" applyFill="1" applyBorder="1"/>
    <xf numFmtId="3" fontId="8" fillId="0" borderId="0" xfId="6" applyNumberFormat="1" applyFont="1"/>
    <xf numFmtId="4" fontId="9" fillId="0" borderId="0" xfId="0" applyNumberFormat="1" applyFont="1"/>
    <xf numFmtId="3" fontId="8" fillId="12" borderId="0" xfId="6" applyNumberFormat="1" applyFont="1" applyFill="1"/>
    <xf numFmtId="3" fontId="1" fillId="0" borderId="6" xfId="0" applyNumberFormat="1" applyFont="1" applyBorder="1"/>
    <xf numFmtId="3" fontId="0" fillId="0" borderId="6" xfId="0" applyNumberFormat="1" applyBorder="1"/>
    <xf numFmtId="4" fontId="2" fillId="4" borderId="7" xfId="0" applyNumberFormat="1" applyFont="1" applyFill="1" applyBorder="1" applyAlignment="1">
      <alignment horizontal="center"/>
    </xf>
    <xf numFmtId="3" fontId="8" fillId="8" borderId="1" xfId="6" applyNumberFormat="1" applyFont="1" applyFill="1" applyBorder="1"/>
    <xf numFmtId="3" fontId="8" fillId="8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0" fillId="0" borderId="4" xfId="0" applyBorder="1"/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0" fillId="13" borderId="11" xfId="0" applyNumberFormat="1" applyFill="1" applyBorder="1"/>
    <xf numFmtId="3" fontId="0" fillId="13" borderId="11" xfId="0" applyNumberFormat="1" applyFill="1" applyBorder="1"/>
    <xf numFmtId="3" fontId="0" fillId="13" borderId="11" xfId="0" applyNumberFormat="1" applyFill="1" applyBorder="1" applyAlignment="1">
      <alignment wrapText="1"/>
    </xf>
    <xf numFmtId="9" fontId="0" fillId="13" borderId="11" xfId="0" applyNumberFormat="1" applyFill="1" applyBorder="1"/>
    <xf numFmtId="0" fontId="1" fillId="0" borderId="10" xfId="0" applyFont="1" applyBorder="1"/>
    <xf numFmtId="0" fontId="16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18" borderId="2" xfId="0" applyNumberFormat="1" applyFill="1" applyBorder="1"/>
    <xf numFmtId="3" fontId="8" fillId="18" borderId="1" xfId="6" applyNumberFormat="1" applyFont="1" applyFill="1" applyBorder="1"/>
    <xf numFmtId="165" fontId="21" fillId="17" borderId="1" xfId="2" applyNumberFormat="1" applyFont="1" applyFill="1" applyBorder="1"/>
    <xf numFmtId="165" fontId="21" fillId="18" borderId="1" xfId="2" applyNumberFormat="1" applyFont="1" applyFill="1" applyBorder="1"/>
    <xf numFmtId="3" fontId="1" fillId="18" borderId="2" xfId="0" applyNumberFormat="1" applyFont="1" applyFill="1" applyBorder="1"/>
    <xf numFmtId="3" fontId="1" fillId="17" borderId="2" xfId="0" applyNumberFormat="1" applyFont="1" applyFill="1" applyBorder="1"/>
    <xf numFmtId="3" fontId="0" fillId="18" borderId="0" xfId="0" applyNumberFormat="1" applyFill="1"/>
    <xf numFmtId="165" fontId="21" fillId="19" borderId="5" xfId="0" applyNumberFormat="1" applyFont="1" applyFill="1" applyBorder="1"/>
    <xf numFmtId="165" fontId="21" fillId="19" borderId="14" xfId="0" applyNumberFormat="1" applyFont="1" applyFill="1" applyBorder="1"/>
    <xf numFmtId="3" fontId="1" fillId="10" borderId="0" xfId="0" applyNumberFormat="1" applyFont="1" applyFill="1"/>
    <xf numFmtId="3" fontId="1" fillId="11" borderId="0" xfId="0" applyNumberFormat="1" applyFont="1" applyFill="1"/>
    <xf numFmtId="3" fontId="1" fillId="20" borderId="1" xfId="0" applyNumberFormat="1" applyFont="1" applyFill="1" applyBorder="1"/>
    <xf numFmtId="0" fontId="23" fillId="4" borderId="1" xfId="0" applyFont="1" applyFill="1" applyBorder="1" applyAlignment="1">
      <alignment horizontal="center"/>
    </xf>
    <xf numFmtId="3" fontId="6" fillId="22" borderId="1" xfId="0" applyNumberFormat="1" applyFont="1" applyFill="1" applyBorder="1"/>
    <xf numFmtId="3" fontId="1" fillId="22" borderId="1" xfId="0" applyNumberFormat="1" applyFont="1" applyFill="1" applyBorder="1"/>
    <xf numFmtId="3" fontId="1" fillId="22" borderId="6" xfId="0" applyNumberFormat="1" applyFont="1" applyFill="1" applyBorder="1"/>
    <xf numFmtId="0" fontId="1" fillId="22" borderId="1" xfId="0" applyFont="1" applyFill="1" applyBorder="1"/>
    <xf numFmtId="3" fontId="2" fillId="22" borderId="1" xfId="0" applyNumberFormat="1" applyFont="1" applyFill="1" applyBorder="1"/>
    <xf numFmtId="0" fontId="0" fillId="22" borderId="1" xfId="0" applyFill="1" applyBorder="1"/>
    <xf numFmtId="3" fontId="0" fillId="22" borderId="1" xfId="0" applyNumberFormat="1" applyFill="1" applyBorder="1"/>
    <xf numFmtId="0" fontId="0" fillId="22" borderId="6" xfId="0" applyFill="1" applyBorder="1"/>
    <xf numFmtId="3" fontId="0" fillId="22" borderId="2" xfId="0" applyNumberFormat="1" applyFill="1" applyBorder="1"/>
    <xf numFmtId="3" fontId="24" fillId="17" borderId="1" xfId="6" applyNumberFormat="1" applyFont="1" applyFill="1" applyBorder="1"/>
    <xf numFmtId="3" fontId="2" fillId="20" borderId="1" xfId="0" applyNumberFormat="1" applyFont="1" applyFill="1" applyBorder="1" applyAlignment="1">
      <alignment horizontal="right"/>
    </xf>
    <xf numFmtId="3" fontId="2" fillId="21" borderId="1" xfId="0" applyNumberFormat="1" applyFont="1" applyFill="1" applyBorder="1" applyAlignment="1">
      <alignment horizontal="right"/>
    </xf>
    <xf numFmtId="3" fontId="2" fillId="20" borderId="1" xfId="0" applyNumberFormat="1" applyFont="1" applyFill="1" applyBorder="1"/>
    <xf numFmtId="0" fontId="25" fillId="0" borderId="1" xfId="0" applyFont="1" applyBorder="1"/>
    <xf numFmtId="0" fontId="16" fillId="2" borderId="1" xfId="0" applyFont="1" applyFill="1" applyBorder="1"/>
    <xf numFmtId="0" fontId="16" fillId="0" borderId="1" xfId="0" applyFont="1" applyBorder="1"/>
    <xf numFmtId="0" fontId="15" fillId="10" borderId="8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3" fontId="3" fillId="18" borderId="0" xfId="0" applyNumberFormat="1" applyFont="1" applyFill="1"/>
    <xf numFmtId="1" fontId="3" fillId="13" borderId="11" xfId="0" applyNumberFormat="1" applyFont="1" applyFill="1" applyBorder="1"/>
    <xf numFmtId="3" fontId="3" fillId="13" borderId="11" xfId="0" applyNumberFormat="1" applyFont="1" applyFill="1" applyBorder="1"/>
    <xf numFmtId="3" fontId="3" fillId="13" borderId="11" xfId="0" applyNumberFormat="1" applyFont="1" applyFill="1" applyBorder="1" applyAlignment="1">
      <alignment wrapText="1"/>
    </xf>
    <xf numFmtId="9" fontId="3" fillId="13" borderId="1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</cellXfs>
  <cellStyles count="157">
    <cellStyle name="Euro" xfId="26" xr:uid="{993C58A7-20F2-486B-82CE-4347ED14E1AA}"/>
    <cellStyle name="Euro 2" xfId="131" xr:uid="{2573E71A-2906-4319-A1A2-63ED85549012}"/>
    <cellStyle name="Hipervínculo 2" xfId="27" xr:uid="{D87E36FF-3E43-4970-B495-DBF4617D1687}"/>
    <cellStyle name="Millares 2" xfId="28" xr:uid="{5F250F89-E2DF-44A7-810F-2005FF7EE994}"/>
    <cellStyle name="Millares 2 2" xfId="29" xr:uid="{5EE450D4-67DD-4223-A28B-C8EBA07A5015}"/>
    <cellStyle name="Millares 2 2 2" xfId="130" xr:uid="{98AA5C67-2EDE-45F1-8641-D4E5ACBD7336}"/>
    <cellStyle name="Millares 2 2 3" xfId="129" xr:uid="{1BBFA82D-DCA6-488D-AE5B-E5CB9C96999B}"/>
    <cellStyle name="Millares 2 3" xfId="30" xr:uid="{07FD1487-E286-433A-A89A-6B6E200F5D68}"/>
    <cellStyle name="Millares 2 3 2" xfId="127" xr:uid="{E1037506-A472-4B4E-9489-C362689BCB90}"/>
    <cellStyle name="Millares 2 3 3" xfId="128" xr:uid="{63A90536-8AFA-4BB2-B7AE-6F194888BC7F}"/>
    <cellStyle name="Millares 2 4" xfId="31" xr:uid="{8E394C7D-39AF-42C1-9312-8A1A572A021C}"/>
    <cellStyle name="Millares 2 4 2" xfId="132" xr:uid="{68C8C5E7-657F-42FA-A019-FF702F9A5908}"/>
    <cellStyle name="Millares 2 5" xfId="32" xr:uid="{9B8C19FA-C3CC-4666-A697-D89AA3B9156D}"/>
    <cellStyle name="Millares 3" xfId="33" xr:uid="{668EA667-B889-4655-8053-110BFE3F67B6}"/>
    <cellStyle name="Millares 3 2" xfId="34" xr:uid="{5C6526B4-69D5-407B-B061-9B09946695B0}"/>
    <cellStyle name="Millares 3 2 2" xfId="125" xr:uid="{A2E2866F-D8E6-4C36-8DDC-D050E86E0C6F}"/>
    <cellStyle name="Millares 3 3" xfId="124" xr:uid="{5DCA287D-21FE-40A7-BDB4-7471778819ED}"/>
    <cellStyle name="Millares 3 4" xfId="126" xr:uid="{E62D765D-AD28-4772-AF36-2F2B911BE644}"/>
    <cellStyle name="Millares 4" xfId="123" xr:uid="{9BDD25F5-B033-45A7-9208-2F95962DAF99}"/>
    <cellStyle name="Millares 4 2" xfId="122" xr:uid="{44F7EBF4-A205-472C-82B2-659AA524C89F}"/>
    <cellStyle name="Millares 5" xfId="121" xr:uid="{1BBEAB42-F417-4651-B8DF-CFB8D5100573}"/>
    <cellStyle name="Millares 6" xfId="120" xr:uid="{AAF34D32-2C09-4DEB-BA6D-909C342CA00B}"/>
    <cellStyle name="Millares 7" xfId="119" xr:uid="{7EE0758A-AB62-4559-BD53-E8EDD386BD1D}"/>
    <cellStyle name="Moneda 4" xfId="35" xr:uid="{6DB6DA2F-48AB-4A8B-A8C2-C2EF972D9AFF}"/>
    <cellStyle name="Moneda 4 2" xfId="36" xr:uid="{5F69C3AB-4474-4F34-BA7C-0565459E62E8}"/>
    <cellStyle name="Normal" xfId="0" builtinId="0"/>
    <cellStyle name="Normal 10" xfId="1" xr:uid="{00000000-0005-0000-0000-000001000000}"/>
    <cellStyle name="Normal 10 2" xfId="37" xr:uid="{7A651FBE-0620-48B1-9148-E64E99E09D00}"/>
    <cellStyle name="Normal 10 2 2" xfId="118" xr:uid="{44790273-C2A5-4FBD-8F23-7C1C26491EAC}"/>
    <cellStyle name="Normal 10 3" xfId="117" xr:uid="{864A9E92-E8D7-4014-8B9D-BCE5DCAD0C80}"/>
    <cellStyle name="Normal 11" xfId="2" xr:uid="{00000000-0005-0000-0000-000002000000}"/>
    <cellStyle name="Normal 11 2" xfId="3" xr:uid="{00000000-0005-0000-0000-000003000000}"/>
    <cellStyle name="Normal 11 2 2" xfId="4" xr:uid="{00000000-0005-0000-0000-000004000000}"/>
    <cellStyle name="Normal 11 2 2 2" xfId="116" xr:uid="{BB0B934D-7091-4B84-9471-23E0CC86B0A8}"/>
    <cellStyle name="Normal 11 2 3" xfId="40" xr:uid="{59774EB8-EA11-4E5F-8E3A-63DC6A447445}"/>
    <cellStyle name="Normal 11 2 4" xfId="41" xr:uid="{08B2E862-1114-4B67-B341-492C70050FD2}"/>
    <cellStyle name="Normal 11 3" xfId="42" xr:uid="{95CEF7B3-7698-415F-8976-312910733E74}"/>
    <cellStyle name="Normal 11 3 2" xfId="115" xr:uid="{E4C5867E-A501-493D-8B9C-7CADF9C1CEFC}"/>
    <cellStyle name="Normal 11 4" xfId="43" xr:uid="{EA0397E3-8DFF-4D87-808F-08856CB2AC14}"/>
    <cellStyle name="Normal 11 5" xfId="44" xr:uid="{714B75B9-A145-48B1-8181-9F6BEAAB70AC}"/>
    <cellStyle name="Normal 12" xfId="5" xr:uid="{00000000-0005-0000-0000-000005000000}"/>
    <cellStyle name="Normal 12 2" xfId="46" xr:uid="{93DFCC03-22B1-427F-A763-3892D8DAABB7}"/>
    <cellStyle name="Normal 12 2 2" xfId="112" xr:uid="{E67017EC-1F80-4DC4-A4F5-09882F85BD33}"/>
    <cellStyle name="Normal 12 2 2 2" xfId="111" xr:uid="{E19E004A-43E9-408C-AEEF-768733844421}"/>
    <cellStyle name="Normal 12 2 2 3" xfId="110" xr:uid="{2DC90C30-E1D4-4439-A748-CA24B918C11B}"/>
    <cellStyle name="Normal 12 2 3" xfId="109" xr:uid="{17DC552D-2220-449E-8543-3A634F7E4411}"/>
    <cellStyle name="Normal 12 2 4" xfId="113" xr:uid="{EFE831CC-2CBE-4F68-9726-121A979C5A6F}"/>
    <cellStyle name="Normal 12 3" xfId="47" xr:uid="{A53C8AFF-DDDB-489F-BD0D-A6A7854AFAAC}"/>
    <cellStyle name="Normal 12 3 2" xfId="108" xr:uid="{E5A732CD-ED42-4D3B-A56D-B6044F862D3B}"/>
    <cellStyle name="Normal 12 4" xfId="107" xr:uid="{B69FFEDF-AC93-450F-93F0-2CD00B927EF9}"/>
    <cellStyle name="Normal 12 4 2" xfId="106" xr:uid="{D358135C-6F30-4555-844F-6C9143194E45}"/>
    <cellStyle name="Normal 12 5" xfId="105" xr:uid="{E0D8DAE3-0C74-46B1-813B-C1CD8D5F90EC}"/>
    <cellStyle name="Normal 12 6" xfId="114" xr:uid="{35FBD38D-D5C2-45E5-8290-DC94AFE1D429}"/>
    <cellStyle name="Normal 13" xfId="6" xr:uid="{00000000-0005-0000-0000-000006000000}"/>
    <cellStyle name="Normal 13 2" xfId="49" xr:uid="{8891BA62-220B-4BE5-BD6E-B66B92270A8C}"/>
    <cellStyle name="Normal 13 2 2" xfId="50" xr:uid="{1EF7F7A4-9182-43DA-89D6-7CFBE4BF444D}"/>
    <cellStyle name="Normal 13 2 3" xfId="51" xr:uid="{28B155C9-0AC2-4EE4-B1A6-AD4D7506F1B7}"/>
    <cellStyle name="Normal 13 2 4" xfId="103" xr:uid="{B63C178D-5106-45A7-889B-53992B7303DC}"/>
    <cellStyle name="Normal 13 3" xfId="104" xr:uid="{A3AF33D0-0BB9-43F8-BB1D-F14E0AC33EBA}"/>
    <cellStyle name="Normal 14" xfId="7" xr:uid="{00000000-0005-0000-0000-000007000000}"/>
    <cellStyle name="Normal 14 2" xfId="102" xr:uid="{8E34FAAF-9226-417F-ABA1-7C9BAF0F31B3}"/>
    <cellStyle name="Normal 15" xfId="8" xr:uid="{00000000-0005-0000-0000-000008000000}"/>
    <cellStyle name="Normal 15 2" xfId="52" xr:uid="{A67BD97F-929D-4495-AB83-9B2D9E93F153}"/>
    <cellStyle name="Normal 16" xfId="53" xr:uid="{9E7E4FEC-A0A8-45C2-BB4D-A5835E0A9F3E}"/>
    <cellStyle name="Normal 16 2" xfId="101" xr:uid="{F19DCD1A-389B-491E-9568-EE3EB3EBDA70}"/>
    <cellStyle name="Normal 2" xfId="9" xr:uid="{00000000-0005-0000-0000-000009000000}"/>
    <cellStyle name="Normal 2 10" xfId="100" xr:uid="{CE8D2F33-DB0F-44F6-8646-513562E6B40A}"/>
    <cellStyle name="Normal 2 2" xfId="10" xr:uid="{00000000-0005-0000-0000-00000A000000}"/>
    <cellStyle name="Normal 2 2 2" xfId="11" xr:uid="{00000000-0005-0000-0000-00000B000000}"/>
    <cellStyle name="Normal 2 2 2 2" xfId="99" xr:uid="{7FC90302-C5C4-4C80-8C34-B766BB4F35F0}"/>
    <cellStyle name="Normal 2 2 3" xfId="12" xr:uid="{00000000-0005-0000-0000-00000C000000}"/>
    <cellStyle name="Normal 2 2 3 2" xfId="25" xr:uid="{41BCBC6B-5EBD-4676-A840-3FB0BCEADB3C}"/>
    <cellStyle name="Normal 2 2 4" xfId="58" xr:uid="{F8134D88-6DBA-47FA-A2A7-FF581F5D1236}"/>
    <cellStyle name="Normal 2 3" xfId="13" xr:uid="{00000000-0005-0000-0000-00000D000000}"/>
    <cellStyle name="Normal 2 3 2" xfId="38" xr:uid="{8E79E509-1993-45EC-998D-8A7EDD68987B}"/>
    <cellStyle name="Normal 2 3 2 2" xfId="39" xr:uid="{7B110B79-C1DF-4AB4-A701-591DE9072E30}"/>
    <cellStyle name="Normal 2 3 3" xfId="45" xr:uid="{A4CBA4B4-AB91-4B62-BD68-8E3FF05EBC45}"/>
    <cellStyle name="Normal 2 3 4" xfId="48" xr:uid="{FAA5B8D3-9581-429C-84D5-3670188950B8}"/>
    <cellStyle name="Normal 2 4" xfId="14" xr:uid="{00000000-0005-0000-0000-00000E000000}"/>
    <cellStyle name="Normal 2 4 2" xfId="54" xr:uid="{576B325A-42C5-4D4A-80F3-87A304C709C4}"/>
    <cellStyle name="Normal 2 4 3" xfId="55" xr:uid="{02C988D2-EF32-403A-88BB-7507C2B1C418}"/>
    <cellStyle name="Normal 2 5" xfId="15" xr:uid="{00000000-0005-0000-0000-00000F000000}"/>
    <cellStyle name="Normal 2 5 2" xfId="56" xr:uid="{A89063B4-A570-4B9A-AE85-09D30FD191A7}"/>
    <cellStyle name="Normal 2 5 3" xfId="57" xr:uid="{27B95875-97AF-4469-B304-8D695AD49A9A}"/>
    <cellStyle name="Normal 2 6" xfId="62" xr:uid="{A55A15C5-EFAE-446E-9174-E3E209B51289}"/>
    <cellStyle name="Normal 2 6 2" xfId="63" xr:uid="{4D4B160C-FDE0-4AF9-9B54-7F989144E4DC}"/>
    <cellStyle name="Normal 2 6 2 2" xfId="64" xr:uid="{E578661E-E8AE-4C70-81AD-6714B545C0C5}"/>
    <cellStyle name="Normal 2 6 2 3" xfId="60" xr:uid="{140D519F-BF87-4555-B63E-5D816DB7E38F}"/>
    <cellStyle name="Normal 2 6 3" xfId="65" xr:uid="{ED956FED-AED5-4148-A554-B5AEC78BBE26}"/>
    <cellStyle name="Normal 2 6 4" xfId="59" xr:uid="{316EC333-2AD7-4B13-9B91-559C220A2028}"/>
    <cellStyle name="Normal 2 7" xfId="61" xr:uid="{C99A4175-9533-4980-AF2F-B09D781FFC77}"/>
    <cellStyle name="Normal 2 8" xfId="67" xr:uid="{4030B820-0638-4913-92B2-6525C4AA0497}"/>
    <cellStyle name="Normal 2 8 2" xfId="78" xr:uid="{3F10C54E-A5A4-436F-837A-2140A20C0998}"/>
    <cellStyle name="Normal 2 9" xfId="136" xr:uid="{E39D74F5-FB8A-4334-8683-2091FCD940E1}"/>
    <cellStyle name="Normal 3" xfId="16" xr:uid="{00000000-0005-0000-0000-000010000000}"/>
    <cellStyle name="Normal 3 2" xfId="17" xr:uid="{00000000-0005-0000-0000-000011000000}"/>
    <cellStyle name="Normal 3 2 2" xfId="89" xr:uid="{51642B59-0933-4493-8EC9-614809C6364A}"/>
    <cellStyle name="Normal 3 2 3" xfId="92" xr:uid="{92ED7ED2-C4CE-4B26-AE8D-BC8BD84DF1AC}"/>
    <cellStyle name="Normal 3 3" xfId="68" xr:uid="{234A885A-936A-48AB-942E-9BC0296BD780}"/>
    <cellStyle name="Normal 3 3 2" xfId="69" xr:uid="{6CFD52ED-0994-48F5-899B-E5E50B9F70C7}"/>
    <cellStyle name="Normal 3 3 2 2" xfId="70" xr:uid="{CCBC4966-12BA-47BF-A7B0-E0AF91B8FD6A}"/>
    <cellStyle name="Normal 3 3 3" xfId="71" xr:uid="{5D99671C-C821-47EA-AE3A-CDCBB01DE6B2}"/>
    <cellStyle name="Normal 3 4" xfId="72" xr:uid="{E91453B8-CB08-480F-B2F3-3B91FF5E7405}"/>
    <cellStyle name="Normal 3 4 2" xfId="73" xr:uid="{AAEB2B7F-BFD9-4D42-AD2F-01D4191A5860}"/>
    <cellStyle name="Normal 3 4 2 2" xfId="134" xr:uid="{3CDACB75-9AD2-4D99-9F95-E0B61B49AB5E}"/>
    <cellStyle name="Normal 3 4 3" xfId="74" xr:uid="{97CC1E21-523C-4FCC-9E6C-AE947293B271}"/>
    <cellStyle name="Normal 3 4 4" xfId="133" xr:uid="{D97900EE-E4AE-496A-BCF4-2E34A9DB34AB}"/>
    <cellStyle name="Normal 3 5" xfId="75" xr:uid="{53E4D224-3DDE-4E9C-81EE-8278E71D1436}"/>
    <cellStyle name="Normal 3 6" xfId="76" xr:uid="{0BDA1DB3-A1A7-4C71-9B80-F8974F98387D}"/>
    <cellStyle name="Normal 3 7" xfId="66" xr:uid="{0C6CA6A0-B070-42FC-867B-B2FC3DC6523E}"/>
    <cellStyle name="Normal 3 8" xfId="84" xr:uid="{C232847D-2FCD-40B8-BF93-E6C74A4D30FF}"/>
    <cellStyle name="Normal 4" xfId="18" xr:uid="{00000000-0005-0000-0000-000012000000}"/>
    <cellStyle name="Normal 4 2" xfId="19" xr:uid="{00000000-0005-0000-0000-000013000000}"/>
    <cellStyle name="Normal 4 2 2" xfId="79" xr:uid="{FC61F937-EA54-46DF-AA58-788F7E43593E}"/>
    <cellStyle name="Normal 4 2 2 2" xfId="135" xr:uid="{2C203F4F-4678-4FFA-B9FF-073BAFF5DEB9}"/>
    <cellStyle name="Normal 4 2 3" xfId="137" xr:uid="{7D98C76B-902D-4731-9AAD-B5295874D50F}"/>
    <cellStyle name="Normal 4 3" xfId="80" xr:uid="{61C5AF04-9A81-46B7-B8D0-5A9793D209C4}"/>
    <cellStyle name="Normal 4 3 2" xfId="81" xr:uid="{42B54FD6-0558-4B88-A02D-7DF8B2C2E780}"/>
    <cellStyle name="Normal 4 3 3" xfId="82" xr:uid="{97B5722D-E382-4F55-ADF8-439EC7CECE93}"/>
    <cellStyle name="Normal 4 4" xfId="83" xr:uid="{72BCEED7-7E38-42FB-B228-658D5F2EE1F7}"/>
    <cellStyle name="Normal 4 4 2" xfId="139" xr:uid="{5A71868F-60D8-4A80-91B3-7150DD04AB19}"/>
    <cellStyle name="Normal 4 4 3" xfId="138" xr:uid="{0029EC4A-B1AD-465B-9C32-09495BE6E88F}"/>
    <cellStyle name="Normal 4 5" xfId="77" xr:uid="{0C9BCE5A-3B17-42A1-BEED-3F4DE680C163}"/>
    <cellStyle name="Normal 5" xfId="20" xr:uid="{00000000-0005-0000-0000-000014000000}"/>
    <cellStyle name="Normal 5 2" xfId="85" xr:uid="{903F83C5-F875-412A-9EC6-29A2A43B4E89}"/>
    <cellStyle name="Normal 5 2 2" xfId="141" xr:uid="{AB8F6586-EC78-43B9-969B-5D7C5E8FD784}"/>
    <cellStyle name="Normal 5 2 3" xfId="140" xr:uid="{E8C69372-0E2D-447F-8D22-B3C73859E50C}"/>
    <cellStyle name="Normal 5 3" xfId="86" xr:uid="{81A4B263-3491-414F-B394-8D1C3237149F}"/>
    <cellStyle name="Normal 5 4" xfId="142" xr:uid="{6418A648-5744-4BA7-A41A-6C6DFA1267E7}"/>
    <cellStyle name="Normal 6" xfId="21" xr:uid="{00000000-0005-0000-0000-000015000000}"/>
    <cellStyle name="Normal 6 2" xfId="87" xr:uid="{86FD46D6-ABD0-4E6B-87C6-8ADD48972E11}"/>
    <cellStyle name="Normal 6 3" xfId="88" xr:uid="{4FD0F7B8-58B4-44A8-B289-5AC90BA6EC2D}"/>
    <cellStyle name="Normal 7" xfId="22" xr:uid="{00000000-0005-0000-0000-000016000000}"/>
    <cellStyle name="Normal 7 2" xfId="90" xr:uid="{07EE922D-1AA5-4422-B5BC-556F983BFC30}"/>
    <cellStyle name="Normal 7 3" xfId="91" xr:uid="{53D93D7A-F3D5-4D31-A739-F9F4FEF791E0}"/>
    <cellStyle name="Normal 8" xfId="23" xr:uid="{00000000-0005-0000-0000-000017000000}"/>
    <cellStyle name="Normal 8 2" xfId="93" xr:uid="{79851D88-CC71-424B-8332-524BC8AD2334}"/>
    <cellStyle name="Normal 8 3" xfId="94" xr:uid="{D910F651-1B4B-4B5D-9821-B488DC8F7ED5}"/>
    <cellStyle name="Normal 9" xfId="24" xr:uid="{00000000-0005-0000-0000-000018000000}"/>
    <cellStyle name="Normal 9 2" xfId="95" xr:uid="{F151D451-4A90-41EA-ABCA-E16CAAB26618}"/>
    <cellStyle name="Normal 9 2 2" xfId="96" xr:uid="{A24E0CB2-C807-4D83-A83E-64FF46DE4DFC}"/>
    <cellStyle name="Normal 9 2 3" xfId="143" xr:uid="{5BB784DE-BB9C-4172-B8BA-81CB15A6F8AF}"/>
    <cellStyle name="Normal 9 3" xfId="97" xr:uid="{F88129B5-E5BB-4586-953C-85DF6B92A1BC}"/>
    <cellStyle name="Normal 9 3 2" xfId="98" xr:uid="{44FCF8CC-3BB1-469D-BAE9-35F7B5B253EB}"/>
    <cellStyle name="Normal 9 3 3" xfId="144" xr:uid="{19B0DCBB-C054-4156-8974-0CB6B5DC3D3B}"/>
    <cellStyle name="Porcentual 2" xfId="145" xr:uid="{8DAA361E-6934-4056-AFBD-AE450A777BDE}"/>
    <cellStyle name="Porcentual 2 2" xfId="146" xr:uid="{4048FC42-0DF5-4E47-8E95-220266E618A5}"/>
    <cellStyle name="Porcentual 2 3" xfId="147" xr:uid="{FAAC96F0-B524-444C-99E2-DBC4E2333332}"/>
    <cellStyle name="Porcentual 2 4" xfId="148" xr:uid="{AD5EF910-5BF2-4382-83E0-CCD365F45CE3}"/>
    <cellStyle name="Porcentual 2 5" xfId="149" xr:uid="{9F71EBDE-4FB0-4D67-BCDD-49166C5E1F8C}"/>
    <cellStyle name="Porcentual 2 6" xfId="150" xr:uid="{A18A2EA3-900F-48C3-8939-DFF21C289E1E}"/>
    <cellStyle name="Porcentual 3" xfId="151" xr:uid="{EB2BD03C-B54F-4D36-ABB6-57CD966B6039}"/>
    <cellStyle name="Porcentual 3 2" xfId="152" xr:uid="{F405FA1E-C1A2-4AE6-A7EB-BB1715A1284F}"/>
    <cellStyle name="Porcentual 3 3" xfId="153" xr:uid="{D3EC73D4-9D88-417D-B24F-777B64B620C5}"/>
    <cellStyle name="Porcentual 3 4" xfId="154" xr:uid="{11BA2FB1-4327-48D1-8EA6-7AA45A87196E}"/>
    <cellStyle name="Porcentual 3 5" xfId="155" xr:uid="{7AEB7838-9082-4029-B03A-5FDB192608CD}"/>
    <cellStyle name="Porcentual 3 6" xfId="156" xr:uid="{69A52EAA-F104-4A2C-9EE7-158B701ADD4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3B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E6FF00"/>
      <rgbColor rgb="00E6E6E6"/>
      <rgbColor rgb="00800080"/>
      <rgbColor rgb="00C5000B"/>
      <rgbColor rgb="00008080"/>
      <rgbColor rgb="000000FF"/>
      <rgbColor rgb="00FFFF66"/>
      <rgbColor rgb="00E6E6FF"/>
      <rgbColor rgb="00CCFFCC"/>
      <rgbColor rgb="00FFFF99"/>
      <rgbColor rgb="0099CCFF"/>
      <rgbColor rgb="00FF99CC"/>
      <rgbColor rgb="00B3B3B3"/>
      <rgbColor rgb="00FFCC99"/>
      <rgbColor rgb="003366FF"/>
      <rgbColor rgb="0083CAFF"/>
      <rgbColor rgb="0099CC00"/>
      <rgbColor rgb="00FFD320"/>
      <rgbColor rgb="00FF950E"/>
      <rgbColor rgb="00FF420E"/>
      <rgbColor rgb="00D9D9D9"/>
      <rgbColor rgb="009999CC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INTERESES Y COMISIONES PAGADAS 1995 AL 2009</a:t>
            </a:r>
          </a:p>
        </c:rich>
      </c:tx>
      <c:layout>
        <c:manualLayout>
          <c:xMode val="edge"/>
          <c:yMode val="edge"/>
          <c:x val="0.251816998886428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89080856236488"/>
          <c:y val="0.17721518987341789"/>
          <c:w val="0.88340381444277183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42-4982-B816-ED19A5BE9C9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E42-4982-B816-ED19A5BE9C9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E42-4982-B816-ED19A5BE9C9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E42-4982-B816-ED19A5BE9C9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42-4982-B816-ED19A5BE9C9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E42-4982-B816-ED19A5BE9C9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E42-4982-B816-ED19A5BE9C9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E42-4982-B816-ED19A5BE9C9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E42-4982-B816-ED19A5BE9C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E42-4982-B816-ED19A5BE9C9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E42-4982-B816-ED19A5BE9C9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E42-4982-B816-ED19A5BE9C9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E42-4982-B816-ED19A5BE9C9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E42-4982-B816-ED19A5BE9C9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E42-4982-B816-ED19A5BE9C9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DEUDA'!$C$23:$Q$23</c:f>
            </c:numRef>
          </c:val>
          <c:extLst>
            <c:ext xmlns:c16="http://schemas.microsoft.com/office/drawing/2014/chart" uri="{C3380CC4-5D6E-409C-BE32-E72D297353CC}">
              <c16:uniqueId val="{0000000F-6E42-4982-B816-ED19A5BE9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126784"/>
        <c:axId val="1"/>
      </c:barChart>
      <c:catAx>
        <c:axId val="30912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205894771149841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0659155611193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12678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VS. AMORTIZACIONES POR PERIODOS. 1995 AL 2009.</a:t>
            </a:r>
          </a:p>
        </c:rich>
      </c:tx>
      <c:layout>
        <c:manualLayout>
          <c:xMode val="edge"/>
          <c:yMode val="edge"/>
          <c:x val="0.11805564304461941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12534438297591"/>
          <c:y val="0.27594936708860784"/>
          <c:w val="0.76736241211346501"/>
          <c:h val="0.38734177215189897"/>
        </c:manualLayout>
      </c:layout>
      <c:barChart>
        <c:barDir val="col"/>
        <c:grouping val="clustered"/>
        <c:varyColors val="0"/>
        <c:ser>
          <c:idx val="0"/>
          <c:order val="0"/>
          <c:tx>
            <c:v>NUEVAS OBLIGACIONES</c:v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DEUDA'!$AI$9:$AK$9</c:f>
              <c:numCache>
                <c:formatCode>#,##0</c:formatCode>
                <c:ptCount val="3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B-4783-8DC3-9D9CF9A77D43}"/>
            </c:ext>
          </c:extLst>
        </c:ser>
        <c:ser>
          <c:idx val="1"/>
          <c:order val="1"/>
          <c:tx>
            <c:v>AMORTIZACIONES</c:v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DEUDA'!$AI$10:$AK$10</c:f>
              <c:numCache>
                <c:formatCode>#,##0</c:formatCode>
                <c:ptCount val="3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B-4783-8DC3-9D9CF9A77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852784"/>
        <c:axId val="1"/>
      </c:barChart>
      <c:catAx>
        <c:axId val="30985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PERÍODOS</a:t>
                </a:r>
              </a:p>
            </c:rich>
          </c:tx>
          <c:layout>
            <c:manualLayout>
              <c:xMode val="edge"/>
              <c:yMode val="edge"/>
              <c:x val="0.5312509186351706"/>
              <c:y val="0.80506333730616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3.6458398950131234E-2"/>
              <c:y val="0.321519053294516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2784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361141732283464"/>
          <c:y val="0.89873429593013043"/>
          <c:w val="0.60937598425196837"/>
          <c:h val="6.0759526647258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VS. AMORTIZACIONES. 1995 AL 2009</a:t>
            </a:r>
          </a:p>
        </c:rich>
      </c:tx>
      <c:layout>
        <c:manualLayout>
          <c:xMode val="edge"/>
          <c:yMode val="edge"/>
          <c:x val="0.2211242262634619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8906305682621"/>
          <c:y val="0.17721518987341789"/>
          <c:w val="0.87225175487348439"/>
          <c:h val="0.63797468354430442"/>
        </c:manualLayout>
      </c:layout>
      <c:lineChart>
        <c:grouping val="standard"/>
        <c:varyColors val="0"/>
        <c:ser>
          <c:idx val="0"/>
          <c:order val="0"/>
          <c:tx>
            <c:v>NUEVAS OBLIGACIONES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4.1901099409621334E-2"/>
                  <c:y val="-5.8815527963020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D5-46EB-8AE9-E72F1B24D0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DEUDA'!$C$9:$Q$9</c:f>
            </c:numRef>
          </c:val>
          <c:smooth val="0"/>
          <c:extLst>
            <c:ext xmlns:c16="http://schemas.microsoft.com/office/drawing/2014/chart" uri="{C3380CC4-5D6E-409C-BE32-E72D297353CC}">
              <c16:uniqueId val="{00000001-66D5-46EB-8AE9-E72F1B24D0E8}"/>
            </c:ext>
          </c:extLst>
        </c:ser>
        <c:ser>
          <c:idx val="1"/>
          <c:order val="1"/>
          <c:tx>
            <c:v>AMORTIZACIONES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211051386142959E-2"/>
                  <c:y val="5.71439217469767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5-46EB-8AE9-E72F1B24D0E8}"/>
                </c:ext>
              </c:extLst>
            </c:dLbl>
            <c:dLbl>
              <c:idx val="5"/>
              <c:layout>
                <c:manualLayout>
                  <c:x val="-3.9527543479139587E-2"/>
                  <c:y val="2.1190280683017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D5-46EB-8AE9-E72F1B24D0E8}"/>
                </c:ext>
              </c:extLst>
            </c:dLbl>
            <c:dLbl>
              <c:idx val="6"/>
              <c:layout>
                <c:manualLayout>
                  <c:x val="-3.9038924671266746E-2"/>
                  <c:y val="5.90212695455989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D5-46EB-8AE9-E72F1B24D0E8}"/>
                </c:ext>
              </c:extLst>
            </c:dLbl>
            <c:dLbl>
              <c:idx val="7"/>
              <c:layout>
                <c:manualLayout>
                  <c:x val="-4.1691668726083486E-2"/>
                  <c:y val="5.2872319359359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D5-46EB-8AE9-E72F1B24D0E8}"/>
                </c:ext>
              </c:extLst>
            </c:dLbl>
            <c:dLbl>
              <c:idx val="10"/>
              <c:layout>
                <c:manualLayout>
                  <c:x val="-3.9178581682277683E-2"/>
                  <c:y val="5.1552700591359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D5-46EB-8AE9-E72F1B24D0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DEUDA'!$C$10:$Q$10</c:f>
            </c:numRef>
          </c:val>
          <c:smooth val="0"/>
          <c:extLst>
            <c:ext xmlns:c16="http://schemas.microsoft.com/office/drawing/2014/chart" uri="{C3380CC4-5D6E-409C-BE32-E72D297353CC}">
              <c16:uniqueId val="{00000007-66D5-46EB-8AE9-E72F1B24D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61312"/>
        <c:axId val="1"/>
      </c:lineChart>
      <c:catAx>
        <c:axId val="3098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753876684738985E-2"/>
              <c:y val="0.32911379874041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6131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8108512702325"/>
          <c:y val="0.92151905329451678"/>
          <c:w val="0.35602123374353067"/>
          <c:h val="6.07595266472584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INCREMENTOS O DISMINUCIONES  ANUALES. 1995 AL 2009</a:t>
            </a:r>
          </a:p>
        </c:rich>
      </c:tx>
      <c:layout>
        <c:manualLayout>
          <c:xMode val="edge"/>
          <c:yMode val="edge"/>
          <c:x val="0.24818276004973061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2633788037771"/>
          <c:y val="0.17721518987341789"/>
          <c:w val="0.87198321091290654"/>
          <c:h val="0.7594936708860763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842167534973168E-2"/>
                  <c:y val="5.5542078689991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89-49D2-93AD-6534A81D30CD}"/>
                </c:ext>
              </c:extLst>
            </c:dLbl>
            <c:dLbl>
              <c:idx val="2"/>
              <c:layout>
                <c:manualLayout>
                  <c:x val="-3.3730942369917485E-2"/>
                  <c:y val="6.64257552725014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9-49D2-93AD-6534A81D30CD}"/>
                </c:ext>
              </c:extLst>
            </c:dLbl>
            <c:dLbl>
              <c:idx val="12"/>
              <c:layout>
                <c:manualLayout>
                  <c:x val="-3.1632319167934214E-2"/>
                  <c:y val="7.6427385653832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89-49D2-93AD-6534A81D30CD}"/>
                </c:ext>
              </c:extLst>
            </c:dLbl>
            <c:dLbl>
              <c:idx val="13"/>
              <c:layout>
                <c:manualLayout>
                  <c:x val="-3.2052047613737991E-2"/>
                  <c:y val="7.0788338879050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89-49D2-93AD-6534A81D30C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DEUDA'!$C$12:$Q$12</c:f>
            </c:numRef>
          </c:val>
          <c:smooth val="0"/>
          <c:extLst>
            <c:ext xmlns:c16="http://schemas.microsoft.com/office/drawing/2014/chart" uri="{C3380CC4-5D6E-409C-BE32-E72D297353CC}">
              <c16:uniqueId val="{00000004-FE89-49D2-93AD-6534A81D3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56064"/>
        <c:axId val="1"/>
      </c:lineChart>
      <c:catAx>
        <c:axId val="3098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78921713733152E-2"/>
              <c:y val="0.3898733253876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6064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AMORTIZACIONES VS. INTERESES PAGADOS. 1995 AL 2009.</a:t>
            </a:r>
          </a:p>
        </c:rich>
      </c:tx>
      <c:layout>
        <c:manualLayout>
          <c:xMode val="edge"/>
          <c:yMode val="edge"/>
          <c:x val="0.25052639390858422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8421052631579"/>
          <c:y val="0.17721518987341789"/>
          <c:w val="0.87157894736842134"/>
          <c:h val="0.63797468354430442"/>
        </c:manualLayout>
      </c:layout>
      <c:lineChart>
        <c:grouping val="standard"/>
        <c:varyColors val="0"/>
        <c:ser>
          <c:idx val="0"/>
          <c:order val="0"/>
          <c:tx>
            <c:v>AMORTIZACIONES</c:v>
          </c:tx>
          <c:spPr>
            <a:ln w="25400">
              <a:solidFill>
                <a:srgbClr val="000080"/>
              </a:solidFill>
              <a:prstDash val="lgDashDotDot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DEUDA'!$C$10:$Q$10</c:f>
            </c:numRef>
          </c:val>
          <c:smooth val="0"/>
          <c:extLst>
            <c:ext xmlns:c16="http://schemas.microsoft.com/office/drawing/2014/chart" uri="{C3380CC4-5D6E-409C-BE32-E72D297353CC}">
              <c16:uniqueId val="{00000000-32D4-4A8F-B62C-1CAB8630C21E}"/>
            </c:ext>
          </c:extLst>
        </c:ser>
        <c:ser>
          <c:idx val="1"/>
          <c:order val="1"/>
          <c:tx>
            <c:v>INTERESES PAGADOS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DEUDA'!$C$23:$Q$23</c:f>
            </c:numRef>
          </c:val>
          <c:smooth val="0"/>
          <c:extLst>
            <c:ext xmlns:c16="http://schemas.microsoft.com/office/drawing/2014/chart" uri="{C3380CC4-5D6E-409C-BE32-E72D297353CC}">
              <c16:uniqueId val="{00000001-32D4-4A8F-B62C-1CAB8630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67872"/>
        <c:axId val="1"/>
      </c:lineChart>
      <c:catAx>
        <c:axId val="3098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42131302861413E-2"/>
              <c:y val="0.329113798740417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6787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94726165826818"/>
          <c:y val="0.92151905329451678"/>
          <c:w val="0.38000004947543664"/>
          <c:h val="6.07595266472584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OBLIGACIONES, AMORTIZACIONES E INTERESE PAGADOS. 1995 AL 2009.</a:t>
            </a:r>
          </a:p>
        </c:rich>
      </c:tx>
      <c:layout>
        <c:manualLayout>
          <c:xMode val="edge"/>
          <c:yMode val="edge"/>
          <c:x val="0.15789482016915651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526315789473"/>
          <c:y val="0.18227848101265831"/>
          <c:w val="0.86210526315789504"/>
          <c:h val="0.56708860759493673"/>
        </c:manualLayout>
      </c:layout>
      <c:barChart>
        <c:barDir val="col"/>
        <c:grouping val="clustered"/>
        <c:varyColors val="0"/>
        <c:ser>
          <c:idx val="0"/>
          <c:order val="0"/>
          <c:tx>
            <c:v>NUEVAS OBLIGACIONES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DEUDA'!$AI$9:$AK$9</c:f>
              <c:numCache>
                <c:formatCode>#,##0</c:formatCode>
                <c:ptCount val="3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E-43E0-839C-9D6A94868AF5}"/>
            </c:ext>
          </c:extLst>
        </c:ser>
        <c:ser>
          <c:idx val="1"/>
          <c:order val="1"/>
          <c:tx>
            <c:v>AMORTIZACIONES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DEUDA'!$AI$10:$AK$10</c:f>
              <c:numCache>
                <c:formatCode>#,##0</c:formatCode>
                <c:ptCount val="3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E-43E0-839C-9D6A94868AF5}"/>
            </c:ext>
          </c:extLst>
        </c:ser>
        <c:ser>
          <c:idx val="2"/>
          <c:order val="2"/>
          <c:tx>
            <c:v>INTERESES PAGADOS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DEUDA'!$AI$23:$AK$23</c:f>
              <c:numCache>
                <c:formatCode>#,##0</c:formatCode>
                <c:ptCount val="3"/>
                <c:pt idx="0">
                  <c:v>2060198</c:v>
                </c:pt>
                <c:pt idx="1">
                  <c:v>3016720</c:v>
                </c:pt>
                <c:pt idx="2">
                  <c:v>3883555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E-43E0-839C-9D6A9486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863608"/>
        <c:axId val="1"/>
      </c:barChart>
      <c:catAx>
        <c:axId val="30986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7894572791973106E-2"/>
              <c:y val="0.298734295930130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63608"/>
        <c:crosses val="autoZero"/>
        <c:crossBetween val="between"/>
      </c:valAx>
      <c:spPr>
        <a:solidFill>
          <a:srgbClr val="FFFF6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210517983084348"/>
          <c:y val="0.91898738464143592"/>
          <c:w val="0.62315776974626524"/>
          <c:h val="6.0759526647258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DEUDA GENERADA POR PERÍODO PRESIDENCIAL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AA-4254-9A21-35D7C6FD78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AA-4254-9A21-35D7C6FD78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AA-4254-9A21-35D7C6FD78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AA-4254-9A21-35D7C6FD78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AA-4254-9A21-35D7C6FD7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66560"/>
        <c:axId val="1"/>
      </c:lineChart>
      <c:catAx>
        <c:axId val="3098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BALBOAS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98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PROYECIÓN DE COMPORTAMIENTO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6710097719869712"/>
                  <c:y val="3.23822543015456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</c:trendlineLbl>
          </c:trendline>
          <c:cat>
            <c:numRef>
              <c:f>'RESUMEN 1994-2019'!$E$4:$L$4</c:f>
              <c:numCache>
                <c:formatCode>General</c:formatCode>
                <c:ptCount val="8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</c:numCache>
            </c:numRef>
          </c:cat>
          <c:val>
            <c:numRef>
              <c:f>'RESUMEN 1994-2019'!$E$11:$L$11</c:f>
              <c:numCache>
                <c:formatCode>#,##0</c:formatCode>
                <c:ptCount val="8"/>
                <c:pt idx="0">
                  <c:v>37435114.230000004</c:v>
                </c:pt>
                <c:pt idx="1">
                  <c:v>38830567.656900004</c:v>
                </c:pt>
                <c:pt idx="2">
                  <c:v>40375884.686607003</c:v>
                </c:pt>
                <c:pt idx="3">
                  <c:v>42075561.227205217</c:v>
                </c:pt>
                <c:pt idx="4">
                  <c:v>43934228.064021371</c:v>
                </c:pt>
                <c:pt idx="5">
                  <c:v>45956654.905942015</c:v>
                </c:pt>
                <c:pt idx="6">
                  <c:v>48147754.55312027</c:v>
                </c:pt>
                <c:pt idx="7">
                  <c:v>50512587.18971388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5-4509-A13E-DDCE596B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128752"/>
        <c:axId val="1"/>
      </c:lineChart>
      <c:catAx>
        <c:axId val="30912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912875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DEUDA AMORTIZACIO´Y NUEVOS COMPROMISOS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'SALDOS DEUDA'!$AH$9</c:f>
              <c:strCache>
                <c:ptCount val="1"/>
                <c:pt idx="0">
                  <c:v>NUEVOS 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'SALDOS DEUDA'!$AI$5:$AN$5</c:f>
              <c:strCache>
                <c:ptCount val="6"/>
                <c:pt idx="0">
                  <c:v>1995-1999</c:v>
                </c:pt>
                <c:pt idx="1">
                  <c:v>2000-2004</c:v>
                </c:pt>
                <c:pt idx="2">
                  <c:v>2005-2009</c:v>
                </c:pt>
                <c:pt idx="3">
                  <c:v>2010-2014</c:v>
                </c:pt>
                <c:pt idx="4">
                  <c:v>2015-2019</c:v>
                </c:pt>
                <c:pt idx="5">
                  <c:v>2020-2024</c:v>
                </c:pt>
              </c:strCache>
            </c:strRef>
          </c:cat>
          <c:val>
            <c:numRef>
              <c:f>'SALDOS DEUDA'!$AI$9:$AN$9</c:f>
              <c:numCache>
                <c:formatCode>#,##0</c:formatCode>
                <c:ptCount val="6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  <c:pt idx="4">
                  <c:v>22067087.738150001</c:v>
                </c:pt>
                <c:pt idx="5">
                  <c:v>15458740.470342321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0-4889-9F98-5194DC93B865}"/>
            </c:ext>
          </c:extLst>
        </c:ser>
        <c:ser>
          <c:idx val="1"/>
          <c:order val="1"/>
          <c:tx>
            <c:strRef>
              <c:f>'SALDOS DEUDA'!$AH$10</c:f>
              <c:strCache>
                <c:ptCount val="1"/>
                <c:pt idx="0">
                  <c:v>AMORTIZACIONES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'SALDOS DEUDA'!$AI$5:$AN$5</c:f>
              <c:strCache>
                <c:ptCount val="6"/>
                <c:pt idx="0">
                  <c:v>1995-1999</c:v>
                </c:pt>
                <c:pt idx="1">
                  <c:v>2000-2004</c:v>
                </c:pt>
                <c:pt idx="2">
                  <c:v>2005-2009</c:v>
                </c:pt>
                <c:pt idx="3">
                  <c:v>2010-2014</c:v>
                </c:pt>
                <c:pt idx="4">
                  <c:v>2015-2019</c:v>
                </c:pt>
                <c:pt idx="5">
                  <c:v>2020-2024</c:v>
                </c:pt>
              </c:strCache>
            </c:strRef>
          </c:cat>
          <c:val>
            <c:numRef>
              <c:f>'SALDOS DEUDA'!$AI$10:$AN$10</c:f>
              <c:numCache>
                <c:formatCode>#,##0</c:formatCode>
                <c:ptCount val="6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  <c:pt idx="4">
                  <c:v>9341175.5020699985</c:v>
                </c:pt>
                <c:pt idx="5">
                  <c:v>6120162.77073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0-4889-9F98-5194DC93B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6395087"/>
        <c:axId val="1949197999"/>
      </c:barChart>
      <c:catAx>
        <c:axId val="1996395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49197999"/>
        <c:crosses val="autoZero"/>
        <c:auto val="1"/>
        <c:lblAlgn val="ctr"/>
        <c:lblOffset val="100"/>
        <c:noMultiLvlLbl val="0"/>
      </c:catAx>
      <c:valAx>
        <c:axId val="1949197999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96395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COMPORTAMIENTO DE LA DEUDA POR PERIODOS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'SALDOS DEUDA'!$AH$9</c:f>
              <c:strCache>
                <c:ptCount val="1"/>
                <c:pt idx="0">
                  <c:v>NUEVOS 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'SALDOS DEUDA'!$AI$5:$AN$6</c:f>
              <c:multiLvlStrCache>
                <c:ptCount val="6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  <c:pt idx="4">
                    <c:v>VARELA</c:v>
                  </c:pt>
                  <c:pt idx="5">
                    <c:v>CORTIZO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  <c:pt idx="4">
                    <c:v>2015-2019</c:v>
                  </c:pt>
                  <c:pt idx="5">
                    <c:v>2020-2024</c:v>
                  </c:pt>
                </c:lvl>
              </c:multiLvlStrCache>
            </c:multiLvlStrRef>
          </c:cat>
          <c:val>
            <c:numRef>
              <c:f>'SALDOS DEUDA'!$AI$9:$AN$9</c:f>
              <c:numCache>
                <c:formatCode>#,##0</c:formatCode>
                <c:ptCount val="6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  <c:pt idx="4">
                  <c:v>22067087.738150001</c:v>
                </c:pt>
                <c:pt idx="5">
                  <c:v>15458740.470342321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29C-8B38-4B9C81D074E8}"/>
            </c:ext>
          </c:extLst>
        </c:ser>
        <c:ser>
          <c:idx val="1"/>
          <c:order val="1"/>
          <c:tx>
            <c:strRef>
              <c:f>'SALDOS DEUDA'!$AH$10</c:f>
              <c:strCache>
                <c:ptCount val="1"/>
                <c:pt idx="0">
                  <c:v>AMORTIZACIONES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'SALDOS DEUDA'!$AI$5:$AN$6</c:f>
              <c:multiLvlStrCache>
                <c:ptCount val="6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  <c:pt idx="4">
                    <c:v>VARELA</c:v>
                  </c:pt>
                  <c:pt idx="5">
                    <c:v>CORTIZO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  <c:pt idx="4">
                    <c:v>2015-2019</c:v>
                  </c:pt>
                  <c:pt idx="5">
                    <c:v>2020-2024</c:v>
                  </c:pt>
                </c:lvl>
              </c:multiLvlStrCache>
            </c:multiLvlStrRef>
          </c:cat>
          <c:val>
            <c:numRef>
              <c:f>'SALDOS DEUDA'!$AI$10:$AN$10</c:f>
              <c:numCache>
                <c:formatCode>#,##0</c:formatCode>
                <c:ptCount val="6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  <c:pt idx="4">
                  <c:v>9341175.5020699985</c:v>
                </c:pt>
                <c:pt idx="5">
                  <c:v>6120162.77073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0-429C-8B38-4B9C81D0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1841146031"/>
        <c:axId val="1828131615"/>
      </c:barChart>
      <c:catAx>
        <c:axId val="184114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828131615"/>
        <c:crosses val="autoZero"/>
        <c:auto val="1"/>
        <c:lblAlgn val="ctr"/>
        <c:lblOffset val="100"/>
        <c:noMultiLvlLbl val="0"/>
      </c:catAx>
      <c:valAx>
        <c:axId val="182813161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841146031"/>
        <c:crosses val="autoZero"/>
        <c:crossBetween val="between"/>
      </c:valAx>
      <c:spPr>
        <a:gradFill>
          <a:gsLst>
            <a:gs pos="0">
              <a:schemeClr val="accent2">
                <a:lumMod val="5000"/>
                <a:lumOff val="95000"/>
              </a:schemeClr>
            </a:gs>
            <a:gs pos="74000">
              <a:schemeClr val="accent2">
                <a:lumMod val="45000"/>
                <a:lumOff val="55000"/>
              </a:schemeClr>
            </a:gs>
            <a:gs pos="83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2020-2024'!$D$11</c:f>
              <c:strCache>
                <c:ptCount val="1"/>
                <c:pt idx="0">
                  <c:v>PROYECCIÓN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4218276957194638E-2"/>
                  <c:y val="0.428252770487022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</c:trendlineLbl>
          </c:trendline>
          <c:cat>
            <c:numRef>
              <c:f>'RESUMEN 2020-2024'!$E$4:$L$4</c:f>
              <c:numCache>
                <c:formatCode>General</c:formatCode>
                <c:ptCount val="8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</c:numCache>
            </c:numRef>
          </c:cat>
          <c:val>
            <c:numRef>
              <c:f>'RESUMEN 2020-2024'!$E$11:$L$11</c:f>
              <c:numCache>
                <c:formatCode>#,##0</c:formatCode>
                <c:ptCount val="8"/>
                <c:pt idx="0">
                  <c:v>46867400</c:v>
                </c:pt>
                <c:pt idx="1">
                  <c:v>48545822</c:v>
                </c:pt>
                <c:pt idx="2">
                  <c:v>50382596.659999996</c:v>
                </c:pt>
                <c:pt idx="3">
                  <c:v>52382474.559799999</c:v>
                </c:pt>
                <c:pt idx="4">
                  <c:v>54550348.796593994</c:v>
                </c:pt>
                <c:pt idx="5">
                  <c:v>56891259.260491811</c:v>
                </c:pt>
                <c:pt idx="6">
                  <c:v>59410397.038306564</c:v>
                </c:pt>
                <c:pt idx="7">
                  <c:v>62113108.94945576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4-41F7-B233-C70944F7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702976"/>
        <c:axId val="955325472"/>
      </c:lineChart>
      <c:catAx>
        <c:axId val="8667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955325472"/>
        <c:crosses val="autoZero"/>
        <c:auto val="1"/>
        <c:lblAlgn val="ctr"/>
        <c:lblOffset val="100"/>
        <c:noMultiLvlLbl val="0"/>
      </c:catAx>
      <c:valAx>
        <c:axId val="9553254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866702976"/>
        <c:crosses val="autoZero"/>
        <c:crossBetween val="between"/>
      </c:valAx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SERVICIO DE LA DEUDA 1995 AL 2009</a:t>
            </a:r>
          </a:p>
        </c:rich>
      </c:tx>
      <c:layout>
        <c:manualLayout>
          <c:xMode val="edge"/>
          <c:yMode val="edge"/>
          <c:x val="0.23819587296389463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4435058078145"/>
          <c:y val="0.17721518987341789"/>
          <c:w val="0.87117212249208054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C6-4B9D-8789-1252AD8476F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C6-4B9D-8789-1252AD8476F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C6-4B9D-8789-1252AD8476F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C6-4B9D-8789-1252AD8476F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C6-4B9D-8789-1252AD8476F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C6-4B9D-8789-1252AD8476F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C6-4B9D-8789-1252AD8476F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C6-4B9D-8789-1252AD8476F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C6-4B9D-8789-1252AD8476F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6C6-4B9D-8789-1252AD8476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C6-4B9D-8789-1252AD8476F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C6-4B9D-8789-1252AD8476F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C6-4B9D-8789-1252AD8476F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6C6-4B9D-8789-1252AD8476F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C6-4B9D-8789-1252AD8476F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DEUDA'!$C$15:$Q$15</c:f>
            </c:numRef>
          </c:val>
          <c:extLst>
            <c:ext xmlns:c16="http://schemas.microsoft.com/office/drawing/2014/chart" uri="{C3380CC4-5D6E-409C-BE32-E72D297353CC}">
              <c16:uniqueId val="{0000000F-C6C6-4B9D-8789-1252AD84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129736"/>
        <c:axId val="1"/>
      </c:barChart>
      <c:catAx>
        <c:axId val="30912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798307111422038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95444780177526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129736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MOVIMIENTO DE LA DEUDA PÚBLICA SEGÚN PRESIDENTE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41024686103445"/>
          <c:y val="0.29220852565843075"/>
          <c:w val="0.84478732177058968"/>
          <c:h val="0.6155999637976286"/>
        </c:manualLayout>
      </c:layout>
      <c:lineChart>
        <c:grouping val="standard"/>
        <c:varyColors val="0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1020000"/>
              <a:lstStyle/>
              <a:p>
                <a:pPr>
                  <a:defRPr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A-4E08-99C4-0744A07F897D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1020000"/>
              <a:lstStyle/>
              <a:p>
                <a:pPr>
                  <a:defRPr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A-4E08-99C4-0744A07F897D}"/>
            </c:ext>
          </c:extLst>
        </c:ser>
        <c:ser>
          <c:idx val="2"/>
          <c:order val="2"/>
          <c:tx>
            <c:v>ENDEUDAMIENTO</c:v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1020000"/>
              <a:lstStyle/>
              <a:p>
                <a:pPr>
                  <a:defRPr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A-4E08-99C4-0744A07F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875592"/>
        <c:axId val="1"/>
      </c:lineChart>
      <c:catAx>
        <c:axId val="40287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DOLARES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4028755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5.7069956918443382E-2"/>
          <c:y val="0.12185500950312245"/>
          <c:w val="0.88252479942037021"/>
          <c:h val="0.13118218843334239"/>
        </c:manualLayout>
      </c:layout>
      <c:overlay val="0"/>
      <c:txPr>
        <a:bodyPr/>
        <a:lstStyle/>
        <a:p>
          <a:pPr>
            <a:defRPr sz="1000" b="1"/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SERVICIO DE LA DEUDA SEGÚN PRESIDENTE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E9-4FD0-9361-ABDF7982E7B1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1-A3E9-4FD0-9361-ABDF7982E7B1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2-A3E9-4FD0-9361-ABDF7982E7B1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3-A3E9-4FD0-9361-ABDF7982E7B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DEUDA'!$AI$15:$AL$15</c:f>
              <c:numCache>
                <c:formatCode>#,##0</c:formatCode>
                <c:ptCount val="4"/>
                <c:pt idx="0">
                  <c:v>9451306</c:v>
                </c:pt>
                <c:pt idx="1">
                  <c:v>10830386</c:v>
                </c:pt>
                <c:pt idx="2">
                  <c:v>14818878</c:v>
                </c:pt>
                <c:pt idx="3">
                  <c:v>13542181.51602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9-4FD0-9361-ABDF7982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02951496"/>
        <c:axId val="1"/>
      </c:barChart>
      <c:catAx>
        <c:axId val="402951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029514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es-P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ESCALAMIENTO DE LA DEUDA POR PERIODOS PRESIDENCIALES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0-2A7F-4713-92FC-57C63A4639EE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1-2A7F-4713-92FC-57C63A4639EE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2-2A7F-4713-92FC-57C63A4639EE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  <c:pictureOptions>
              <c:pictureFormat val="stretch"/>
            </c:pictureOptions>
            <c:extLst>
              <c:ext xmlns:c16="http://schemas.microsoft.com/office/drawing/2014/chart" uri="{C3380CC4-5D6E-409C-BE32-E72D297353CC}">
                <c16:uniqueId val="{00000003-2A7F-4713-92FC-57C63A4639E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DEUDA'!$AI$14:$AL$14</c:f>
              <c:numCache>
                <c:formatCode>#,##0</c:formatCode>
                <c:ptCount val="4"/>
                <c:pt idx="0">
                  <c:v>2323773</c:v>
                </c:pt>
                <c:pt idx="1">
                  <c:v>4684753</c:v>
                </c:pt>
                <c:pt idx="2">
                  <c:v>5669004</c:v>
                </c:pt>
                <c:pt idx="3">
                  <c:v>13068093.672130002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F-4713-92FC-57C63A46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402948544"/>
        <c:axId val="1"/>
      </c:barChart>
      <c:catAx>
        <c:axId val="4029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DOLARES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40294854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DEUDA GENERADA POR PERÍODO PRESIDENCIAL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9C-463D-AE8D-34CE047635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9C-463D-AE8D-34CE047635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9C-463D-AE8D-34CE047635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9C-463D-AE8D-34CE0476353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9C-463D-AE8D-34CE0476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309866560"/>
        <c:axId val="1"/>
      </c:barChart>
      <c:catAx>
        <c:axId val="3098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BALBOAS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98665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PA" sz="1200"/>
              <a:t>DEUDA GENERADA POR PERÍODO PRESIDENCIAL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B0-43D0-B0F5-A6718EF2CD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B0-43D0-B0F5-A6718EF2CD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B0-43D0-B0F5-A6718EF2CD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B0-43D0-B0F5-A6718EF2CD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B0-43D0-B0F5-A6718EF2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66560"/>
        <c:axId val="1"/>
      </c:lineChart>
      <c:catAx>
        <c:axId val="3098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BALBOAS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98665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INCREMENTOS EN LA DEUDA PÚBLICA </a:t>
            </a:r>
          </a:p>
          <a:p>
            <a:pPr>
              <a:defRPr sz="1400"/>
            </a:pPr>
            <a:r>
              <a:rPr lang="en-US" sz="1400"/>
              <a:t>POR ADMINISTRACIÓN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FB-48BA-8484-7A9B349C53A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FB-48BA-8484-7A9B349C53A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FB-48BA-8484-7A9B349C53A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FB-48BA-8484-7A9B349C53A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DEUDA'!$AI$6:$AL$6</c:f>
              <c:strCache>
                <c:ptCount val="4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</c:strCache>
            </c:strRef>
          </c:cat>
          <c:val>
            <c:numRef>
              <c:f>'SALDOS DEUDA'!$AI$11:$AL$11</c:f>
              <c:numCache>
                <c:formatCode>#,##0</c:formatCode>
                <c:ptCount val="4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  <c:pt idx="3">
                  <c:v>7399089.6721300017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FB-48BA-8484-7A9B349C5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5"/>
        <c:axId val="311027680"/>
        <c:axId val="1"/>
      </c:barChart>
      <c:catAx>
        <c:axId val="3110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3110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 DE LA DEUDA PÚBLICA SEGÚN ADMINISTRACIONES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080308984148"/>
          <c:y val="0.20937282229965157"/>
          <c:w val="0.83546579210805483"/>
          <c:h val="0.57772970451864247"/>
        </c:manualLayout>
      </c:layout>
      <c:lineChart>
        <c:grouping val="standard"/>
        <c:varyColors val="0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F-42C5-BDA7-C17CC3FBA117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F-42C5-BDA7-C17CC3FBA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311025384"/>
        <c:axId val="1"/>
      </c:lineChart>
      <c:catAx>
        <c:axId val="31102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ADMINISTRACIONES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DE BALBOAS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1102538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22080576500375615"/>
          <c:y val="8.9441965968353174E-2"/>
          <c:w val="0.47558888177847025"/>
          <c:h val="7.578490025561425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 DE LA DEUDA PÚBLICA SEGÚN ADMINISTRACIONES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5080308984148"/>
          <c:y val="0.20937282229965157"/>
          <c:w val="0.83546579210805483"/>
          <c:h val="0.57772970451864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9-4E1E-898F-9B92663FB942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convex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9-4E1E-898F-9B92663F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2863152"/>
        <c:axId val="1"/>
      </c:barChart>
      <c:catAx>
        <c:axId val="28286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ADMINISTRACIONES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MILES DE BALBOAS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8286315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25079671164259149"/>
          <c:y val="0.1533852673389183"/>
          <c:w val="0.47558887139107614"/>
          <c:h val="7.578490025561425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MOVIMIENTO DE LA DEUDA PÚBLICA SEGÚN ADMINISTRACIONES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27273678076761E-2"/>
          <c:y val="0.14665505226480835"/>
          <c:w val="0.83546579210805483"/>
          <c:h val="0.57772970451864247"/>
        </c:manualLayout>
      </c:layout>
      <c:pie3DChart>
        <c:varyColors val="1"/>
        <c:ser>
          <c:idx val="0"/>
          <c:order val="0"/>
          <c:tx>
            <c:strRef>
              <c:f>'SALDOS DEUDA'!$A$9</c:f>
              <c:strCache>
                <c:ptCount val="1"/>
                <c:pt idx="0">
                  <c:v>NUEVAS OBLIGACIONES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0-45BE-4064-A704-A205AE9AF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1-45BE-4064-A704-A205AE9AF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2-45BE-4064-A704-A205AE9AF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45BE-4064-A704-A205AE9AF19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DEUDA'!$AI$9:$AL$9</c:f>
              <c:numCache>
                <c:formatCode>#,##0</c:formatCode>
                <c:ptCount val="4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  <c:pt idx="3">
                  <c:v>16948250.308880001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BE-4064-A704-A205AE9AF19B}"/>
            </c:ext>
          </c:extLst>
        </c:ser>
        <c:ser>
          <c:idx val="1"/>
          <c:order val="1"/>
          <c:tx>
            <c:strRef>
              <c:f>'SALDOS DEUDA'!$A$10</c:f>
              <c:strCache>
                <c:ptCount val="1"/>
                <c:pt idx="0">
                  <c:v>AMORTIZACIONES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convex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5-45BE-4064-A704-A205AE9AF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6-45BE-4064-A704-A205AE9AF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7-45BE-4064-A704-A205AE9AF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convex"/>
              </a:sp3d>
            </c:spPr>
            <c:extLst>
              <c:ext xmlns:c16="http://schemas.microsoft.com/office/drawing/2014/chart" uri="{C3380CC4-5D6E-409C-BE32-E72D297353CC}">
                <c16:uniqueId val="{00000008-45BE-4064-A704-A205AE9AF19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'SALDOS DEUDA'!$AI$5:$AL$6</c:f>
              <c:multiLvlStrCache>
                <c:ptCount val="4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  <c:pt idx="3">
                    <c:v>MARTINELLI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  <c:pt idx="3">
                    <c:v>2010-2014</c:v>
                  </c:pt>
                </c:lvl>
              </c:multiLvlStrCache>
            </c:multiLvlStrRef>
          </c:cat>
          <c:val>
            <c:numRef>
              <c:f>'SALDOS DEUDA'!$AI$10:$AL$10</c:f>
              <c:numCache>
                <c:formatCode>#,##0</c:formatCode>
                <c:ptCount val="4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  <c:pt idx="3">
                  <c:v>9549160.6367499996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BE-4064-A704-A205AE9A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15749860535732E-2"/>
          <c:y val="0.81809995682654557"/>
          <c:w val="0.85617053965815249"/>
          <c:h val="8.536748833288787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DEUDA PER CÁPITA. AÑOS 2010-2014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slope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0-FD61-4D57-825B-91047794E5E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1-FD61-4D57-825B-91047794E5E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2-FD61-4D57-825B-91047794E5E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3-FD61-4D57-825B-91047794E5E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  <c:extLst>
              <c:ext xmlns:c16="http://schemas.microsoft.com/office/drawing/2014/chart" uri="{C3380CC4-5D6E-409C-BE32-E72D297353CC}">
                <c16:uniqueId val="{00000004-FD61-4D57-825B-91047794E5E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DEUDA'!$R$5:$V$5</c:f>
            </c:multiLvlStrRef>
          </c:cat>
          <c:val>
            <c:numRef>
              <c:f>'SALDOS DEUDA'!$R$17:$V$17</c:f>
            </c:numRef>
          </c:val>
          <c:extLst>
            <c:ext xmlns:c16="http://schemas.microsoft.com/office/drawing/2014/chart" uri="{C3380CC4-5D6E-409C-BE32-E72D297353CC}">
              <c16:uniqueId val="{00000005-FD61-4D57-825B-91047794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06510840"/>
        <c:axId val="1"/>
      </c:barChart>
      <c:catAx>
        <c:axId val="3065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6510840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1995 AL 2009</a:t>
            </a:r>
          </a:p>
        </c:rich>
      </c:tx>
      <c:layout>
        <c:manualLayout>
          <c:xMode val="edge"/>
          <c:yMode val="edge"/>
          <c:x val="0.21805774278215223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4435058078145"/>
          <c:y val="0.17721518987341789"/>
          <c:w val="0.87117212249208054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BA3-43D1-BF3E-66D71225FB5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A3-43D1-BF3E-66D71225FB5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A3-43D1-BF3E-66D71225FB5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A3-43D1-BF3E-66D71225FB5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BA3-43D1-BF3E-66D71225FB5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BA3-43D1-BF3E-66D71225FB5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BA3-43D1-BF3E-66D71225FB5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BA3-43D1-BF3E-66D71225FB5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BA3-43D1-BF3E-66D71225FB5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BA3-43D1-BF3E-66D71225FB5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BA3-43D1-BF3E-66D71225FB5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BA3-43D1-BF3E-66D71225FB5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BA3-43D1-BF3E-66D71225FB5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BA3-43D1-BF3E-66D71225FB5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BA3-43D1-BF3E-66D71225FB5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DEUDA'!$C$9:$Q$9</c:f>
            </c:numRef>
          </c:val>
          <c:extLst>
            <c:ext xmlns:c16="http://schemas.microsoft.com/office/drawing/2014/chart" uri="{C3380CC4-5D6E-409C-BE32-E72D297353CC}">
              <c16:uniqueId val="{0000000F-EBA3-43D1-BF3E-66D71225F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128096"/>
        <c:axId val="1"/>
      </c:barChart>
      <c:catAx>
        <c:axId val="30912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798317034567277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95444780177526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128096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DEUDA PER CÁPITA. AÑOS 2010-2014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none"/>
          </c:marker>
          <c:dPt>
            <c:idx val="0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1E-477F-9528-3B44435DA107}"/>
              </c:ext>
            </c:extLst>
          </c:dPt>
          <c:dPt>
            <c:idx val="1"/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1E-477F-9528-3B44435DA107}"/>
              </c:ext>
            </c:extLst>
          </c:dPt>
          <c:dPt>
            <c:idx val="2"/>
            <c:bubble3D val="0"/>
            <c:spPr>
              <a:ln w="28575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1E-477F-9528-3B44435DA107}"/>
              </c:ext>
            </c:extLst>
          </c:dPt>
          <c:dPt>
            <c:idx val="3"/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1E-477F-9528-3B44435DA107}"/>
              </c:ext>
            </c:extLst>
          </c:dPt>
          <c:dPt>
            <c:idx val="4"/>
            <c:bubble3D val="0"/>
            <c:spPr>
              <a:ln w="28575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1E-477F-9528-3B44435DA10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1"/>
            <c:trendlineLbl>
              <c:layout>
                <c:manualLayout>
                  <c:x val="6.2208353804003844E-2"/>
                  <c:y val="0.5479166666666667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</c:trendlineLbl>
          </c:trendline>
          <c:cat>
            <c:multiLvlStrRef>
              <c:f>'SALDOS DEUDA'!$R$5:$V$5</c:f>
            </c:multiLvlStrRef>
          </c:cat>
          <c:val>
            <c:numRef>
              <c:f>'SALDOS DEUDA'!$R$17:$V$17</c:f>
            </c:numRef>
          </c:val>
          <c:smooth val="0"/>
          <c:extLst>
            <c:ext xmlns:c16="http://schemas.microsoft.com/office/drawing/2014/chart" uri="{C3380CC4-5D6E-409C-BE32-E72D297353CC}">
              <c16:uniqueId val="{0000000B-AD1E-477F-9528-3B44435D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09528"/>
        <c:axId val="1"/>
      </c:lineChart>
      <c:catAx>
        <c:axId val="30650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650952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31000">
          <a:srgbClr val="FFFF66"/>
        </a:gs>
        <a:gs pos="71000">
          <a:schemeClr val="accent6">
            <a:lumMod val="60000"/>
            <a:lumOff val="4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DEUDA</a:t>
            </a:r>
            <a:r>
              <a:rPr lang="en-US" sz="1200" b="1" baseline="0"/>
              <a:t> PÚBLICA PANAMEÑA</a:t>
            </a:r>
            <a:endParaRPr lang="en-US" sz="1200" b="1"/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SALDOS AL FINAL DEL PERÍODO DE 1994 A 2019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EN MILLONES DE BALBOAS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8701-4401-9481-3B8A09DFB90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8701-4401-9481-3B8A09DFB90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8701-4401-9481-3B8A09DFB90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8701-4401-9481-3B8A09DFB90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8701-4401-9481-3B8A09DFB90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8701-4401-9481-3B8A09DFB9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1994-2019'!$A$6:$A$11</c:f>
              <c:strCache>
                <c:ptCount val="6"/>
                <c:pt idx="0">
                  <c:v>ENDARA</c:v>
                </c:pt>
                <c:pt idx="1">
                  <c:v>BALLADARES</c:v>
                </c:pt>
                <c:pt idx="2">
                  <c:v>MOSCOSO</c:v>
                </c:pt>
                <c:pt idx="3">
                  <c:v>TORRIJOS</c:v>
                </c:pt>
                <c:pt idx="4">
                  <c:v>MARTINELLI</c:v>
                </c:pt>
                <c:pt idx="5">
                  <c:v>VARELA</c:v>
                </c:pt>
              </c:strCache>
            </c:strRef>
          </c:cat>
          <c:val>
            <c:numRef>
              <c:f>'RESUMEN 1994-2019'!$B$6:$B$11</c:f>
              <c:numCache>
                <c:formatCode>#,##0</c:formatCode>
                <c:ptCount val="6"/>
                <c:pt idx="0">
                  <c:v>5843203</c:v>
                </c:pt>
                <c:pt idx="1">
                  <c:v>8166982</c:v>
                </c:pt>
                <c:pt idx="2">
                  <c:v>9969762</c:v>
                </c:pt>
                <c:pt idx="3">
                  <c:v>10954013</c:v>
                </c:pt>
                <c:pt idx="4">
                  <c:v>18445209</c:v>
                </c:pt>
                <c:pt idx="5">
                  <c:v>36342441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01-4401-9481-3B8A09DF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-27"/>
        <c:axId val="402870672"/>
        <c:axId val="1"/>
      </c:barChart>
      <c:catAx>
        <c:axId val="4028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02870672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31000"/>
          </a:blip>
          <a:srcRect/>
          <a:stretch>
            <a:fillRect/>
          </a:stretch>
        </a:blip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INCREMENTO DE LA DEUDA PÚBLICA POR ADMINISTRACIÓN</a:t>
            </a:r>
          </a:p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Millones</a:t>
            </a:r>
            <a:r>
              <a:rPr lang="en-US" sz="1200" b="1" baseline="0"/>
              <a:t> de Balboas</a:t>
            </a:r>
            <a:endParaRPr lang="en-US" sz="1200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1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374591515974E-2"/>
          <c:y val="0.32843128172992214"/>
          <c:w val="0.93033602025043316"/>
          <c:h val="0.63817780562896764"/>
        </c:manualLayout>
      </c:layout>
      <c:pie3DChart>
        <c:varyColors val="1"/>
        <c:ser>
          <c:idx val="0"/>
          <c:order val="0"/>
          <c:tx>
            <c:strRef>
              <c:f>'RESUMEN 1994-2019'!$A$6:$A$11</c:f>
              <c:strCache>
                <c:ptCount val="6"/>
                <c:pt idx="0">
                  <c:v>ENDARA</c:v>
                </c:pt>
                <c:pt idx="1">
                  <c:v>BALLADARES</c:v>
                </c:pt>
                <c:pt idx="2">
                  <c:v>MOSCOSO</c:v>
                </c:pt>
                <c:pt idx="3">
                  <c:v>TORRIJOS</c:v>
                </c:pt>
                <c:pt idx="4">
                  <c:v>MARTINELLI</c:v>
                </c:pt>
                <c:pt idx="5">
                  <c:v>VARELA</c:v>
                </c:pt>
              </c:strCache>
            </c:strRef>
          </c:tx>
          <c:spPr>
            <a:effectLst/>
          </c:spPr>
          <c:explosion val="1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AB-4C19-8634-F8A25DA099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AB-4C19-8634-F8A25DA099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AB-4C19-8634-F8A25DA099A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AB-4C19-8634-F8A25DA099A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AB-4C19-8634-F8A25DA099A0}"/>
              </c:ext>
            </c:extLst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AAB-4C19-8634-F8A25DA099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1994-2019'!$A$7:$A$11</c:f>
              <c:strCache>
                <c:ptCount val="5"/>
                <c:pt idx="0">
                  <c:v>BALLADARES</c:v>
                </c:pt>
                <c:pt idx="1">
                  <c:v>MOSCOSO</c:v>
                </c:pt>
                <c:pt idx="2">
                  <c:v>TORRIJOS</c:v>
                </c:pt>
                <c:pt idx="3">
                  <c:v>MARTINELLI</c:v>
                </c:pt>
                <c:pt idx="4">
                  <c:v>VARELA</c:v>
                </c:pt>
              </c:strCache>
            </c:strRef>
          </c:cat>
          <c:val>
            <c:numRef>
              <c:f>'RESUMEN 1994-2019'!$C$7:$C$11</c:f>
              <c:numCache>
                <c:formatCode>#,##0</c:formatCode>
                <c:ptCount val="5"/>
                <c:pt idx="0">
                  <c:v>2323779</c:v>
                </c:pt>
                <c:pt idx="1">
                  <c:v>1802780</c:v>
                </c:pt>
                <c:pt idx="2">
                  <c:v>984251</c:v>
                </c:pt>
                <c:pt idx="3">
                  <c:v>7491196</c:v>
                </c:pt>
                <c:pt idx="4">
                  <c:v>17897232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B-4C19-8634-F8A25DA09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AMORTIZACIONES DE LA DEUDA 1995 AL 2009</a:t>
            </a:r>
          </a:p>
        </c:rich>
      </c:tx>
      <c:layout>
        <c:manualLayout>
          <c:xMode val="edge"/>
          <c:yMode val="edge"/>
          <c:x val="0.20129097177300428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2416798952563"/>
          <c:y val="0.17721518987341789"/>
          <c:w val="0.87130891443840974"/>
          <c:h val="0.6481012658227848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B1-4D90-A79A-1061F093C32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B1-4D90-A79A-1061F093C32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B1-4D90-A79A-1061F093C32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B1-4D90-A79A-1061F093C32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B1-4D90-A79A-1061F093C32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B1-4D90-A79A-1061F093C32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B1-4D90-A79A-1061F093C32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B1-4D90-A79A-1061F093C32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B1-4D90-A79A-1061F093C32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B1-4D90-A79A-1061F093C32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BB1-4D90-A79A-1061F093C32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B1-4D90-A79A-1061F093C32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BB1-4D90-A79A-1061F093C32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BB1-4D90-A79A-1061F093C32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B1-4D90-A79A-1061F093C32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DEUDA'!$C$5:$Q$5</c:f>
            </c:multiLvlStrRef>
          </c:cat>
          <c:val>
            <c:numRef>
              <c:f>'SALDOS DEUDA'!$C$10:$Q$10</c:f>
            </c:numRef>
          </c:val>
          <c:extLst>
            <c:ext xmlns:c16="http://schemas.microsoft.com/office/drawing/2014/chart" uri="{C3380CC4-5D6E-409C-BE32-E72D297353CC}">
              <c16:uniqueId val="{0000000F-6BB1-4D90-A79A-1061F093C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09635392"/>
        <c:axId val="1"/>
      </c:barChart>
      <c:catAx>
        <c:axId val="3096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AÑOS</a:t>
                </a:r>
              </a:p>
            </c:rich>
          </c:tx>
          <c:layout>
            <c:manualLayout>
              <c:xMode val="edge"/>
              <c:yMode val="edge"/>
              <c:x val="0.52848153187650415"/>
              <c:y val="0.90379737272295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1.6877607013004392E-2"/>
              <c:y val="0.334177136046579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5392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NUEVAS OBLIGACIONES POR PERIODO. 1995-2009</a:t>
            </a:r>
          </a:p>
        </c:rich>
      </c:tx>
      <c:layout>
        <c:manualLayout>
          <c:xMode val="edge"/>
          <c:yMode val="edge"/>
          <c:x val="0.1993069031165112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10761660157644"/>
          <c:y val="0.16455696202531642"/>
          <c:w val="0.78162977756527763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CC">
                    <a:gamma/>
                    <a:shade val="46275"/>
                    <a:invGamma/>
                  </a:srgbClr>
                </a:gs>
                <a:gs pos="50000">
                  <a:srgbClr val="FF99CC"/>
                </a:gs>
                <a:gs pos="100000">
                  <a:srgbClr val="FF99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DB-41EA-8587-B51634B8B24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DB-41EA-8587-B51634B8B24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DB-41EA-8587-B51634B8B24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DEUDA'!$AI$9:$AK$9</c:f>
              <c:numCache>
                <c:formatCode>#,##0</c:formatCode>
                <c:ptCount val="3"/>
                <c:pt idx="0">
                  <c:v>9714881</c:v>
                </c:pt>
                <c:pt idx="1">
                  <c:v>10174646</c:v>
                </c:pt>
                <c:pt idx="2">
                  <c:v>11919574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DB-41EA-8587-B51634B8B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09634408"/>
        <c:axId val="1"/>
      </c:barChart>
      <c:catAx>
        <c:axId val="3096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PERIODO</a:t>
                </a:r>
              </a:p>
            </c:rich>
          </c:tx>
          <c:layout>
            <c:manualLayout>
              <c:xMode val="edge"/>
              <c:yMode val="edge"/>
              <c:x val="0.53552901392943864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729642408931096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440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INCREMENTO DE LA DEUDA PÚBLICA POR PERÍODO. 1995-2009</a:t>
            </a:r>
          </a:p>
        </c:rich>
      </c:tx>
      <c:layout>
        <c:manualLayout>
          <c:xMode val="edge"/>
          <c:yMode val="edge"/>
          <c:x val="0.11888109689413823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56643356643387"/>
          <c:y val="0.16455696202531642"/>
          <c:w val="0.79195804195804198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69-4628-8E75-3880F299F3E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F69-4628-8E75-3880F299F3E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F69-4628-8E75-3880F299F3E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DEUDA'!$AI$11:$AK$11</c:f>
              <c:numCache>
                <c:formatCode>#,##0</c:formatCode>
                <c:ptCount val="3"/>
                <c:pt idx="0">
                  <c:v>2323773</c:v>
                </c:pt>
                <c:pt idx="1">
                  <c:v>2360980</c:v>
                </c:pt>
                <c:pt idx="2">
                  <c:v>984251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9-4628-8E75-3880F299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09638016"/>
        <c:axId val="1"/>
      </c:barChart>
      <c:catAx>
        <c:axId val="3096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PERIODOS</a:t>
                </a:r>
              </a:p>
            </c:rich>
          </c:tx>
          <c:layout>
            <c:manualLayout>
              <c:xMode val="edge"/>
              <c:yMode val="edge"/>
              <c:x val="0.52272719816272972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97203083989501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801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INTERESES Y COMISIONES POR PERÍODO. 1995-2009</a:t>
            </a:r>
          </a:p>
        </c:rich>
      </c:tx>
      <c:layout>
        <c:manualLayout>
          <c:xMode val="edge"/>
          <c:yMode val="edge"/>
          <c:x val="0.18166085996007256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6089965397925"/>
          <c:y val="0.16455696202531642"/>
          <c:w val="0.79411764705882371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09-4672-8671-43151E67002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09-4672-8671-43151E67002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509-4672-8671-43151E6700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DEUDA'!$AI$23:$AK$23</c:f>
              <c:numCache>
                <c:formatCode>#,##0</c:formatCode>
                <c:ptCount val="3"/>
                <c:pt idx="0">
                  <c:v>2060198</c:v>
                </c:pt>
                <c:pt idx="1">
                  <c:v>3016720</c:v>
                </c:pt>
                <c:pt idx="2">
                  <c:v>3883555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9-4672-8671-43151E670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09633752"/>
        <c:axId val="1"/>
      </c:barChart>
      <c:catAx>
        <c:axId val="309633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PERÍODOS</a:t>
                </a:r>
              </a:p>
            </c:rich>
          </c:tx>
          <c:layout>
            <c:manualLayout>
              <c:xMode val="edge"/>
              <c:yMode val="edge"/>
              <c:x val="0.52249131020784567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681674925769416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63375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SERVICIO DE LA DEUDA POR PERÍODOS. 1995-2009</a:t>
            </a:r>
          </a:p>
        </c:rich>
      </c:tx>
      <c:layout>
        <c:manualLayout>
          <c:xMode val="edge"/>
          <c:yMode val="edge"/>
          <c:x val="0.19410756061701862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10761660157644"/>
          <c:y val="0.16455696202531642"/>
          <c:w val="0.78162977756527763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68-4F17-BDF3-FABA5C078E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68-4F17-BDF3-FABA5C078E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E68-4F17-BDF3-FABA5C078E2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DEUDA'!$AI$15:$AK$15</c:f>
              <c:numCache>
                <c:formatCode>#,##0</c:formatCode>
                <c:ptCount val="3"/>
                <c:pt idx="0">
                  <c:v>9451306</c:v>
                </c:pt>
                <c:pt idx="1">
                  <c:v>10830386</c:v>
                </c:pt>
                <c:pt idx="2">
                  <c:v>14818878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8-4F17-BDF3-FABA5C07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9855736"/>
        <c:axId val="1"/>
      </c:barChart>
      <c:catAx>
        <c:axId val="3098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</a:t>
                </a:r>
              </a:p>
            </c:rich>
          </c:tx>
          <c:layout>
            <c:manualLayout>
              <c:xMode val="edge"/>
              <c:yMode val="edge"/>
              <c:x val="0.53552909379212466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729709724188745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57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A"/>
              <a:t>AMORTIZACIÓN DE LA DEUDA POR PERÍODO. 1995 AL 2009.</a:t>
            </a:r>
          </a:p>
        </c:rich>
      </c:tx>
      <c:layout>
        <c:manualLayout>
          <c:xMode val="edge"/>
          <c:yMode val="edge"/>
          <c:x val="0.145328694378319"/>
          <c:y val="3.2911431976710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162629757777"/>
          <c:y val="0.16455696202531642"/>
          <c:w val="0.78200692041522457"/>
          <c:h val="0.60000000000000031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00FF">
                    <a:gamma/>
                    <a:shade val="21176"/>
                    <a:invGamma/>
                  </a:srgbClr>
                </a:gs>
                <a:gs pos="50000">
                  <a:srgbClr val="FF00FF"/>
                </a:gs>
                <a:gs pos="100000">
                  <a:srgbClr val="FF00FF">
                    <a:gamma/>
                    <a:shade val="21176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0E-4C94-8D8C-86468996CF9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0E-4C94-8D8C-86468996CF9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0E-4C94-8D8C-86468996CF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'SALDOS DEUDA'!$AI$5:$AK$6</c:f>
              <c:multiLvlStrCache>
                <c:ptCount val="3"/>
                <c:lvl>
                  <c:pt idx="0">
                    <c:v>BALLADARES</c:v>
                  </c:pt>
                  <c:pt idx="1">
                    <c:v>MOSCOSO</c:v>
                  </c:pt>
                  <c:pt idx="2">
                    <c:v>TORRIJOS</c:v>
                  </c:pt>
                </c:lvl>
                <c:lvl>
                  <c:pt idx="0">
                    <c:v>1995-1999</c:v>
                  </c:pt>
                  <c:pt idx="1">
                    <c:v>2000-2004</c:v>
                  </c:pt>
                  <c:pt idx="2">
                    <c:v>2005-2009</c:v>
                  </c:pt>
                </c:lvl>
              </c:multiLvlStrCache>
            </c:multiLvlStrRef>
          </c:cat>
          <c:val>
            <c:numRef>
              <c:f>'SALDOS DEUDA'!$AI$10:$AK$10</c:f>
              <c:numCache>
                <c:formatCode>#,##0</c:formatCode>
                <c:ptCount val="3"/>
                <c:pt idx="0">
                  <c:v>7391108</c:v>
                </c:pt>
                <c:pt idx="1">
                  <c:v>7813666</c:v>
                </c:pt>
                <c:pt idx="2">
                  <c:v>10935323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E-4C94-8D8C-86468996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09857704"/>
        <c:axId val="1"/>
      </c:barChart>
      <c:catAx>
        <c:axId val="30985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PERÍODOS</a:t>
                </a:r>
              </a:p>
            </c:rich>
          </c:tx>
          <c:layout>
            <c:manualLayout>
              <c:xMode val="edge"/>
              <c:yMode val="edge"/>
              <c:x val="0.52941178864269867"/>
              <c:y val="0.9063290413760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A"/>
                  <a:t>MILES DE BALBOAS</a:t>
                </a:r>
              </a:p>
            </c:rich>
          </c:tx>
          <c:layout>
            <c:manualLayout>
              <c:xMode val="edge"/>
              <c:yMode val="edge"/>
              <c:x val="2.7681539807524056E-2"/>
              <c:y val="0.31645571598835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309857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A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9525</xdr:rowOff>
    </xdr:from>
    <xdr:to>
      <xdr:col>9</xdr:col>
      <xdr:colOff>533400</xdr:colOff>
      <xdr:row>49</xdr:row>
      <xdr:rowOff>47625</xdr:rowOff>
    </xdr:to>
    <xdr:graphicFrame macro="">
      <xdr:nvGraphicFramePr>
        <xdr:cNvPr id="8660" name="Chart 11">
          <a:extLst>
            <a:ext uri="{FF2B5EF4-FFF2-40B4-BE49-F238E27FC236}">
              <a16:creationId xmlns:a16="http://schemas.microsoft.com/office/drawing/2014/main" id="{CB2610D7-73B2-473D-831B-2856F303F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9</xdr:col>
      <xdr:colOff>485775</xdr:colOff>
      <xdr:row>73</xdr:row>
      <xdr:rowOff>66675</xdr:rowOff>
    </xdr:to>
    <xdr:graphicFrame macro="">
      <xdr:nvGraphicFramePr>
        <xdr:cNvPr id="8661" name="Chart 12">
          <a:extLst>
            <a:ext uri="{FF2B5EF4-FFF2-40B4-BE49-F238E27FC236}">
              <a16:creationId xmlns:a16="http://schemas.microsoft.com/office/drawing/2014/main" id="{3C0DCFED-69AC-4404-959D-0AAFF7E1C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152400</xdr:rowOff>
    </xdr:from>
    <xdr:to>
      <xdr:col>9</xdr:col>
      <xdr:colOff>495300</xdr:colOff>
      <xdr:row>98</xdr:row>
      <xdr:rowOff>28575</xdr:rowOff>
    </xdr:to>
    <xdr:graphicFrame macro="">
      <xdr:nvGraphicFramePr>
        <xdr:cNvPr id="8662" name="Chart 13">
          <a:extLst>
            <a:ext uri="{FF2B5EF4-FFF2-40B4-BE49-F238E27FC236}">
              <a16:creationId xmlns:a16="http://schemas.microsoft.com/office/drawing/2014/main" id="{8F0D4305-D38E-48BC-8C5C-091855F21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99</xdr:row>
      <xdr:rowOff>0</xdr:rowOff>
    </xdr:from>
    <xdr:to>
      <xdr:col>9</xdr:col>
      <xdr:colOff>514350</xdr:colOff>
      <xdr:row>122</xdr:row>
      <xdr:rowOff>38100</xdr:rowOff>
    </xdr:to>
    <xdr:graphicFrame macro="">
      <xdr:nvGraphicFramePr>
        <xdr:cNvPr id="8663" name="Chart 14">
          <a:extLst>
            <a:ext uri="{FF2B5EF4-FFF2-40B4-BE49-F238E27FC236}">
              <a16:creationId xmlns:a16="http://schemas.microsoft.com/office/drawing/2014/main" id="{A8BE4852-02AB-43E4-8924-DCEADF4A4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600075</xdr:colOff>
      <xdr:row>74</xdr:row>
      <xdr:rowOff>152400</xdr:rowOff>
    </xdr:from>
    <xdr:to>
      <xdr:col>17</xdr:col>
      <xdr:colOff>0</xdr:colOff>
      <xdr:row>98</xdr:row>
      <xdr:rowOff>28575</xdr:rowOff>
    </xdr:to>
    <xdr:graphicFrame macro="">
      <xdr:nvGraphicFramePr>
        <xdr:cNvPr id="8664" name="Chart 15">
          <a:extLst>
            <a:ext uri="{FF2B5EF4-FFF2-40B4-BE49-F238E27FC236}">
              <a16:creationId xmlns:a16="http://schemas.microsoft.com/office/drawing/2014/main" id="{946C11E7-A3B5-48E7-80C8-0C85297D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638175</xdr:colOff>
      <xdr:row>147</xdr:row>
      <xdr:rowOff>28575</xdr:rowOff>
    </xdr:from>
    <xdr:to>
      <xdr:col>16</xdr:col>
      <xdr:colOff>752475</xdr:colOff>
      <xdr:row>170</xdr:row>
      <xdr:rowOff>66675</xdr:rowOff>
    </xdr:to>
    <xdr:graphicFrame macro="">
      <xdr:nvGraphicFramePr>
        <xdr:cNvPr id="8665" name="Chart 16">
          <a:extLst>
            <a:ext uri="{FF2B5EF4-FFF2-40B4-BE49-F238E27FC236}">
              <a16:creationId xmlns:a16="http://schemas.microsoft.com/office/drawing/2014/main" id="{D9D9B95C-F561-4545-9AEF-40D2E8558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657225</xdr:colOff>
      <xdr:row>26</xdr:row>
      <xdr:rowOff>38100</xdr:rowOff>
    </xdr:from>
    <xdr:to>
      <xdr:col>21</xdr:col>
      <xdr:colOff>647700</xdr:colOff>
      <xdr:row>49</xdr:row>
      <xdr:rowOff>76200</xdr:rowOff>
    </xdr:to>
    <xdr:graphicFrame macro="">
      <xdr:nvGraphicFramePr>
        <xdr:cNvPr id="8666" name="Chart 17">
          <a:extLst>
            <a:ext uri="{FF2B5EF4-FFF2-40B4-BE49-F238E27FC236}">
              <a16:creationId xmlns:a16="http://schemas.microsoft.com/office/drawing/2014/main" id="{FCCE38C0-A508-46BE-B63D-5D8310CF0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38100</xdr:rowOff>
    </xdr:from>
    <xdr:to>
      <xdr:col>16</xdr:col>
      <xdr:colOff>733425</xdr:colOff>
      <xdr:row>73</xdr:row>
      <xdr:rowOff>76200</xdr:rowOff>
    </xdr:to>
    <xdr:graphicFrame macro="">
      <xdr:nvGraphicFramePr>
        <xdr:cNvPr id="8667" name="Chart 18">
          <a:extLst>
            <a:ext uri="{FF2B5EF4-FFF2-40B4-BE49-F238E27FC236}">
              <a16:creationId xmlns:a16="http://schemas.microsoft.com/office/drawing/2014/main" id="{2C088A75-862C-4DDD-9624-5B1B4090E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581025</xdr:colOff>
      <xdr:row>98</xdr:row>
      <xdr:rowOff>142875</xdr:rowOff>
    </xdr:from>
    <xdr:to>
      <xdr:col>16</xdr:col>
      <xdr:colOff>752475</xdr:colOff>
      <xdr:row>122</xdr:row>
      <xdr:rowOff>19050</xdr:rowOff>
    </xdr:to>
    <xdr:graphicFrame macro="">
      <xdr:nvGraphicFramePr>
        <xdr:cNvPr id="8668" name="Chart 19">
          <a:extLst>
            <a:ext uri="{FF2B5EF4-FFF2-40B4-BE49-F238E27FC236}">
              <a16:creationId xmlns:a16="http://schemas.microsoft.com/office/drawing/2014/main" id="{5AA222F9-7116-463B-9C69-3182FF8A6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609600</xdr:colOff>
      <xdr:row>123</xdr:row>
      <xdr:rowOff>9525</xdr:rowOff>
    </xdr:from>
    <xdr:to>
      <xdr:col>17</xdr:col>
      <xdr:colOff>0</xdr:colOff>
      <xdr:row>146</xdr:row>
      <xdr:rowOff>47625</xdr:rowOff>
    </xdr:to>
    <xdr:graphicFrame macro="">
      <xdr:nvGraphicFramePr>
        <xdr:cNvPr id="8669" name="Chart 20">
          <a:extLst>
            <a:ext uri="{FF2B5EF4-FFF2-40B4-BE49-F238E27FC236}">
              <a16:creationId xmlns:a16="http://schemas.microsoft.com/office/drawing/2014/main" id="{D2967970-0580-4FF8-9614-25A6F0531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123</xdr:row>
      <xdr:rowOff>0</xdr:rowOff>
    </xdr:from>
    <xdr:to>
      <xdr:col>9</xdr:col>
      <xdr:colOff>561975</xdr:colOff>
      <xdr:row>146</xdr:row>
      <xdr:rowOff>38100</xdr:rowOff>
    </xdr:to>
    <xdr:graphicFrame macro="">
      <xdr:nvGraphicFramePr>
        <xdr:cNvPr id="8670" name="Chart 21">
          <a:extLst>
            <a:ext uri="{FF2B5EF4-FFF2-40B4-BE49-F238E27FC236}">
              <a16:creationId xmlns:a16="http://schemas.microsoft.com/office/drawing/2014/main" id="{4864E06F-9A13-42F5-9534-3D007D97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66675</xdr:colOff>
      <xdr:row>147</xdr:row>
      <xdr:rowOff>28575</xdr:rowOff>
    </xdr:from>
    <xdr:to>
      <xdr:col>9</xdr:col>
      <xdr:colOff>542925</xdr:colOff>
      <xdr:row>170</xdr:row>
      <xdr:rowOff>66675</xdr:rowOff>
    </xdr:to>
    <xdr:graphicFrame macro="">
      <xdr:nvGraphicFramePr>
        <xdr:cNvPr id="8671" name="Chart 22">
          <a:extLst>
            <a:ext uri="{FF2B5EF4-FFF2-40B4-BE49-F238E27FC236}">
              <a16:creationId xmlns:a16="http://schemas.microsoft.com/office/drawing/2014/main" id="{F123DFDC-0F61-4408-AE92-3A61EF940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76200</xdr:colOff>
      <xdr:row>171</xdr:row>
      <xdr:rowOff>66675</xdr:rowOff>
    </xdr:from>
    <xdr:to>
      <xdr:col>9</xdr:col>
      <xdr:colOff>523875</xdr:colOff>
      <xdr:row>194</xdr:row>
      <xdr:rowOff>104775</xdr:rowOff>
    </xdr:to>
    <xdr:graphicFrame macro="">
      <xdr:nvGraphicFramePr>
        <xdr:cNvPr id="8672" name="Chart 23">
          <a:extLst>
            <a:ext uri="{FF2B5EF4-FFF2-40B4-BE49-F238E27FC236}">
              <a16:creationId xmlns:a16="http://schemas.microsoft.com/office/drawing/2014/main" id="{797BC7EA-6752-40CD-88D6-9BBE7817F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104775</xdr:colOff>
      <xdr:row>195</xdr:row>
      <xdr:rowOff>152400</xdr:rowOff>
    </xdr:from>
    <xdr:to>
      <xdr:col>9</xdr:col>
      <xdr:colOff>552450</xdr:colOff>
      <xdr:row>219</xdr:row>
      <xdr:rowOff>28575</xdr:rowOff>
    </xdr:to>
    <xdr:graphicFrame macro="">
      <xdr:nvGraphicFramePr>
        <xdr:cNvPr id="8673" name="Chart 24">
          <a:extLst>
            <a:ext uri="{FF2B5EF4-FFF2-40B4-BE49-F238E27FC236}">
              <a16:creationId xmlns:a16="http://schemas.microsoft.com/office/drawing/2014/main" id="{BCB01177-A19F-4C3B-91FD-8D890E9AE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219075</xdr:colOff>
      <xdr:row>51</xdr:row>
      <xdr:rowOff>104775</xdr:rowOff>
    </xdr:from>
    <xdr:to>
      <xdr:col>24</xdr:col>
      <xdr:colOff>596900</xdr:colOff>
      <xdr:row>72</xdr:row>
      <xdr:rowOff>66675</xdr:rowOff>
    </xdr:to>
    <xdr:graphicFrame macro="">
      <xdr:nvGraphicFramePr>
        <xdr:cNvPr id="8674" name="15 Gráfico">
          <a:extLst>
            <a:ext uri="{FF2B5EF4-FFF2-40B4-BE49-F238E27FC236}">
              <a16:creationId xmlns:a16="http://schemas.microsoft.com/office/drawing/2014/main" id="{8F32A59E-3810-49B5-A50F-F6DDFE690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11</xdr:row>
      <xdr:rowOff>104775</xdr:rowOff>
    </xdr:from>
    <xdr:to>
      <xdr:col>10</xdr:col>
      <xdr:colOff>180975</xdr:colOff>
      <xdr:row>28</xdr:row>
      <xdr:rowOff>95250</xdr:rowOff>
    </xdr:to>
    <xdr:graphicFrame macro="">
      <xdr:nvGraphicFramePr>
        <xdr:cNvPr id="232462" name="Gráfico 5">
          <a:extLst>
            <a:ext uri="{FF2B5EF4-FFF2-40B4-BE49-F238E27FC236}">
              <a16:creationId xmlns:a16="http://schemas.microsoft.com/office/drawing/2014/main" id="{F0E7F4B0-F27E-4042-A0DC-405197934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339148</xdr:colOff>
      <xdr:row>5</xdr:row>
      <xdr:rowOff>136525</xdr:rowOff>
    </xdr:from>
    <xdr:to>
      <xdr:col>53</xdr:col>
      <xdr:colOff>339148</xdr:colOff>
      <xdr:row>23</xdr:row>
      <xdr:rowOff>22225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9A4095-CDCF-5DD2-DD40-1AE938BD85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702830</xdr:colOff>
      <xdr:row>7</xdr:row>
      <xdr:rowOff>143741</xdr:rowOff>
    </xdr:from>
    <xdr:to>
      <xdr:col>53</xdr:col>
      <xdr:colOff>223693</xdr:colOff>
      <xdr:row>25</xdr:row>
      <xdr:rowOff>29441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1B513F4-32C6-3BEA-865B-A6D9037BAD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196579</xdr:colOff>
      <xdr:row>11</xdr:row>
      <xdr:rowOff>111192</xdr:rowOff>
    </xdr:from>
    <xdr:to>
      <xdr:col>10</xdr:col>
      <xdr:colOff>749840</xdr:colOff>
      <xdr:row>28</xdr:row>
      <xdr:rowOff>98222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79BE99B-45FF-A84F-6E4A-0E7E590C1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95250</xdr:rowOff>
    </xdr:from>
    <xdr:to>
      <xdr:col>9</xdr:col>
      <xdr:colOff>304800</xdr:colOff>
      <xdr:row>20</xdr:row>
      <xdr:rowOff>0</xdr:rowOff>
    </xdr:to>
    <xdr:graphicFrame macro="">
      <xdr:nvGraphicFramePr>
        <xdr:cNvPr id="10334" name="1 Gráfico">
          <a:extLst>
            <a:ext uri="{FF2B5EF4-FFF2-40B4-BE49-F238E27FC236}">
              <a16:creationId xmlns:a16="http://schemas.microsoft.com/office/drawing/2014/main" id="{DEA27341-7031-405B-BDCF-2A9CD16C2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20</xdr:row>
      <xdr:rowOff>133350</xdr:rowOff>
    </xdr:from>
    <xdr:to>
      <xdr:col>9</xdr:col>
      <xdr:colOff>323850</xdr:colOff>
      <xdr:row>37</xdr:row>
      <xdr:rowOff>123825</xdr:rowOff>
    </xdr:to>
    <xdr:graphicFrame macro="">
      <xdr:nvGraphicFramePr>
        <xdr:cNvPr id="10335" name="2 Gráfico">
          <a:extLst>
            <a:ext uri="{FF2B5EF4-FFF2-40B4-BE49-F238E27FC236}">
              <a16:creationId xmlns:a16="http://schemas.microsoft.com/office/drawing/2014/main" id="{3B6E6687-4601-4C7E-B594-8CF18F15A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539750</xdr:colOff>
      <xdr:row>2</xdr:row>
      <xdr:rowOff>127000</xdr:rowOff>
    </xdr:from>
    <xdr:to>
      <xdr:col>19</xdr:col>
      <xdr:colOff>266140</xdr:colOff>
      <xdr:row>19</xdr:row>
      <xdr:rowOff>120650</xdr:rowOff>
    </xdr:to>
    <xdr:graphicFrame macro="">
      <xdr:nvGraphicFramePr>
        <xdr:cNvPr id="10336" name="3 Gráfico">
          <a:extLst>
            <a:ext uri="{FF2B5EF4-FFF2-40B4-BE49-F238E27FC236}">
              <a16:creationId xmlns:a16="http://schemas.microsoft.com/office/drawing/2014/main" id="{E2C6E9B1-8A6A-4DD9-ADC5-2DC5857BD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518582</xdr:colOff>
      <xdr:row>21</xdr:row>
      <xdr:rowOff>31750</xdr:rowOff>
    </xdr:from>
    <xdr:to>
      <xdr:col>19</xdr:col>
      <xdr:colOff>317499</xdr:colOff>
      <xdr:row>38</xdr:row>
      <xdr:rowOff>74084</xdr:rowOff>
    </xdr:to>
    <xdr:graphicFrame macro="">
      <xdr:nvGraphicFramePr>
        <xdr:cNvPr id="6" name="15 Gráfico">
          <a:extLst>
            <a:ext uri="{FF2B5EF4-FFF2-40B4-BE49-F238E27FC236}">
              <a16:creationId xmlns:a16="http://schemas.microsoft.com/office/drawing/2014/main" id="{383F2795-DC24-4C25-B543-694867A24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39</xdr:row>
      <xdr:rowOff>0</xdr:rowOff>
    </xdr:from>
    <xdr:to>
      <xdr:col>9</xdr:col>
      <xdr:colOff>349251</xdr:colOff>
      <xdr:row>57</xdr:row>
      <xdr:rowOff>84667</xdr:rowOff>
    </xdr:to>
    <xdr:graphicFrame macro="">
      <xdr:nvGraphicFramePr>
        <xdr:cNvPr id="8" name="15 Gráfico">
          <a:extLst>
            <a:ext uri="{FF2B5EF4-FFF2-40B4-BE49-F238E27FC236}">
              <a16:creationId xmlns:a16="http://schemas.microsoft.com/office/drawing/2014/main" id="{3F7467C9-B7DE-4CC4-B6BC-7367E3D1B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47625</xdr:rowOff>
    </xdr:from>
    <xdr:to>
      <xdr:col>8</xdr:col>
      <xdr:colOff>47625</xdr:colOff>
      <xdr:row>23</xdr:row>
      <xdr:rowOff>95250</xdr:rowOff>
    </xdr:to>
    <xdr:graphicFrame macro="">
      <xdr:nvGraphicFramePr>
        <xdr:cNvPr id="9435" name="1 Gráfico">
          <a:extLst>
            <a:ext uri="{FF2B5EF4-FFF2-40B4-BE49-F238E27FC236}">
              <a16:creationId xmlns:a16="http://schemas.microsoft.com/office/drawing/2014/main" id="{7FA86013-4214-4D23-9EAF-4644EE4C6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1</xdr:row>
      <xdr:rowOff>57150</xdr:rowOff>
    </xdr:from>
    <xdr:to>
      <xdr:col>15</xdr:col>
      <xdr:colOff>266700</xdr:colOff>
      <xdr:row>23</xdr:row>
      <xdr:rowOff>142875</xdr:rowOff>
    </xdr:to>
    <xdr:graphicFrame macro="">
      <xdr:nvGraphicFramePr>
        <xdr:cNvPr id="9436" name="Gráfico 4">
          <a:extLst>
            <a:ext uri="{FF2B5EF4-FFF2-40B4-BE49-F238E27FC236}">
              <a16:creationId xmlns:a16="http://schemas.microsoft.com/office/drawing/2014/main" id="{6ED4A032-6069-4A35-9C9A-25E3F7598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24</xdr:row>
      <xdr:rowOff>95250</xdr:rowOff>
    </xdr:from>
    <xdr:to>
      <xdr:col>7</xdr:col>
      <xdr:colOff>723900</xdr:colOff>
      <xdr:row>47</xdr:row>
      <xdr:rowOff>19050</xdr:rowOff>
    </xdr:to>
    <xdr:graphicFrame macro="">
      <xdr:nvGraphicFramePr>
        <xdr:cNvPr id="9437" name="Gráfico 6">
          <a:extLst>
            <a:ext uri="{FF2B5EF4-FFF2-40B4-BE49-F238E27FC236}">
              <a16:creationId xmlns:a16="http://schemas.microsoft.com/office/drawing/2014/main" id="{EDBA230C-7996-4DAF-951A-7300FD616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228600</xdr:colOff>
      <xdr:row>25</xdr:row>
      <xdr:rowOff>0</xdr:rowOff>
    </xdr:from>
    <xdr:to>
      <xdr:col>15</xdr:col>
      <xdr:colOff>361950</xdr:colOff>
      <xdr:row>47</xdr:row>
      <xdr:rowOff>85725</xdr:rowOff>
    </xdr:to>
    <xdr:graphicFrame macro="">
      <xdr:nvGraphicFramePr>
        <xdr:cNvPr id="9438" name="Gráfico 8">
          <a:extLst>
            <a:ext uri="{FF2B5EF4-FFF2-40B4-BE49-F238E27FC236}">
              <a16:creationId xmlns:a16="http://schemas.microsoft.com/office/drawing/2014/main" id="{BBFCB3A3-18B4-47B9-AFFA-3276F99FB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49</xdr:row>
      <xdr:rowOff>28575</xdr:rowOff>
    </xdr:from>
    <xdr:to>
      <xdr:col>7</xdr:col>
      <xdr:colOff>704850</xdr:colOff>
      <xdr:row>66</xdr:row>
      <xdr:rowOff>19050</xdr:rowOff>
    </xdr:to>
    <xdr:graphicFrame macro="">
      <xdr:nvGraphicFramePr>
        <xdr:cNvPr id="9439" name="Gráfico 10">
          <a:extLst>
            <a:ext uri="{FF2B5EF4-FFF2-40B4-BE49-F238E27FC236}">
              <a16:creationId xmlns:a16="http://schemas.microsoft.com/office/drawing/2014/main" id="{A154CA17-EAEE-4355-80EF-B10A7602F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123825</xdr:colOff>
      <xdr:row>49</xdr:row>
      <xdr:rowOff>0</xdr:rowOff>
    </xdr:from>
    <xdr:to>
      <xdr:col>15</xdr:col>
      <xdr:colOff>438150</xdr:colOff>
      <xdr:row>65</xdr:row>
      <xdr:rowOff>152400</xdr:rowOff>
    </xdr:to>
    <xdr:graphicFrame macro="">
      <xdr:nvGraphicFramePr>
        <xdr:cNvPr id="9440" name="Gráfico 11">
          <a:extLst>
            <a:ext uri="{FF2B5EF4-FFF2-40B4-BE49-F238E27FC236}">
              <a16:creationId xmlns:a16="http://schemas.microsoft.com/office/drawing/2014/main" id="{8F0B5925-1D2E-464F-A65F-C1F98F078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628650</xdr:colOff>
      <xdr:row>84</xdr:row>
      <xdr:rowOff>152400</xdr:rowOff>
    </xdr:to>
    <xdr:graphicFrame macro="">
      <xdr:nvGraphicFramePr>
        <xdr:cNvPr id="9441" name="Gráfico 1">
          <a:extLst>
            <a:ext uri="{FF2B5EF4-FFF2-40B4-BE49-F238E27FC236}">
              <a16:creationId xmlns:a16="http://schemas.microsoft.com/office/drawing/2014/main" id="{A91E3D68-2B75-4E5B-8676-C8C52A208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68</xdr:row>
      <xdr:rowOff>0</xdr:rowOff>
    </xdr:from>
    <xdr:to>
      <xdr:col>15</xdr:col>
      <xdr:colOff>419100</xdr:colOff>
      <xdr:row>85</xdr:row>
      <xdr:rowOff>0</xdr:rowOff>
    </xdr:to>
    <xdr:graphicFrame macro="">
      <xdr:nvGraphicFramePr>
        <xdr:cNvPr id="9442" name="Gráfico 3">
          <a:extLst>
            <a:ext uri="{FF2B5EF4-FFF2-40B4-BE49-F238E27FC236}">
              <a16:creationId xmlns:a16="http://schemas.microsoft.com/office/drawing/2014/main" id="{3B19F0A6-F07E-46C3-BFD2-253F0348C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170"/>
  <sheetViews>
    <sheetView zoomScale="88" zoomScaleNormal="88" workbookViewId="0">
      <selection activeCell="AQ16" sqref="AQ16"/>
    </sheetView>
  </sheetViews>
  <sheetFormatPr baseColWidth="10" defaultRowHeight="12.5" x14ac:dyDescent="0.25"/>
  <cols>
    <col min="1" max="1" width="37.453125" customWidth="1"/>
    <col min="2" max="2" width="13.1796875" customWidth="1"/>
    <col min="3" max="8" width="13.1796875" hidden="1" customWidth="1"/>
    <col min="9" max="32" width="15.453125" hidden="1" customWidth="1"/>
    <col min="33" max="33" width="16.7265625" customWidth="1"/>
    <col min="34" max="34" width="20.7265625" customWidth="1"/>
    <col min="35" max="40" width="10.6328125" customWidth="1"/>
    <col min="41" max="41" width="12.6328125" customWidth="1"/>
  </cols>
  <sheetData>
    <row r="2" spans="1:41" ht="13" x14ac:dyDescent="0.3">
      <c r="A2" t="s">
        <v>25</v>
      </c>
      <c r="E2" s="106" t="s">
        <v>34</v>
      </c>
      <c r="F2" s="106"/>
      <c r="G2" s="106"/>
      <c r="H2" s="106"/>
      <c r="I2" s="106"/>
      <c r="J2" s="106"/>
      <c r="K2" s="106"/>
    </row>
    <row r="3" spans="1:41" ht="13" x14ac:dyDescent="0.3">
      <c r="A3" t="s">
        <v>31</v>
      </c>
      <c r="E3" s="106" t="s">
        <v>1</v>
      </c>
      <c r="F3" s="106"/>
      <c r="G3" s="106"/>
      <c r="H3" s="106"/>
      <c r="I3" s="106"/>
      <c r="J3" s="106"/>
      <c r="K3" s="106"/>
      <c r="AH3" s="120" t="s">
        <v>2</v>
      </c>
      <c r="AI3" s="120"/>
      <c r="AJ3" s="120"/>
      <c r="AK3" s="120"/>
      <c r="AL3" s="120"/>
      <c r="AM3" s="120"/>
      <c r="AN3" s="120"/>
    </row>
    <row r="4" spans="1:41" ht="13" x14ac:dyDescent="0.3">
      <c r="A4" t="s">
        <v>32</v>
      </c>
      <c r="C4" s="111" t="s">
        <v>21</v>
      </c>
      <c r="D4" s="112"/>
      <c r="E4" s="112"/>
      <c r="F4" s="112"/>
      <c r="G4" s="113"/>
      <c r="H4" s="114" t="s">
        <v>22</v>
      </c>
      <c r="I4" s="115"/>
      <c r="J4" s="115"/>
      <c r="K4" s="115"/>
      <c r="L4" s="116"/>
      <c r="M4" s="117" t="s">
        <v>23</v>
      </c>
      <c r="N4" s="118"/>
      <c r="O4" s="118"/>
      <c r="P4" s="118"/>
      <c r="Q4" s="119"/>
      <c r="R4" s="111" t="s">
        <v>36</v>
      </c>
      <c r="S4" s="112"/>
      <c r="T4" s="112"/>
      <c r="U4" s="112"/>
      <c r="V4" s="113"/>
      <c r="W4" s="108" t="s">
        <v>37</v>
      </c>
      <c r="X4" s="109"/>
      <c r="Y4" s="109"/>
      <c r="Z4" s="109"/>
      <c r="AA4" s="110"/>
      <c r="AB4" s="103" t="s">
        <v>58</v>
      </c>
      <c r="AC4" s="104"/>
      <c r="AD4" s="104"/>
      <c r="AE4" s="104"/>
      <c r="AF4" s="105"/>
      <c r="AI4" s="23"/>
      <c r="AJ4" s="23"/>
      <c r="AK4" s="23"/>
    </row>
    <row r="5" spans="1:41" ht="14" x14ac:dyDescent="0.4">
      <c r="A5" s="10" t="s">
        <v>3</v>
      </c>
      <c r="B5" s="11">
        <v>1994</v>
      </c>
      <c r="C5" s="11">
        <v>1995</v>
      </c>
      <c r="D5" s="11">
        <v>1996</v>
      </c>
      <c r="E5" s="11">
        <v>1997</v>
      </c>
      <c r="F5" s="11">
        <v>1998</v>
      </c>
      <c r="G5" s="11">
        <v>1999</v>
      </c>
      <c r="H5" s="11">
        <v>2000</v>
      </c>
      <c r="I5" s="11">
        <v>2001</v>
      </c>
      <c r="J5" s="11">
        <v>2002</v>
      </c>
      <c r="K5" s="11">
        <v>2003</v>
      </c>
      <c r="L5" s="11">
        <v>2004</v>
      </c>
      <c r="M5" s="11">
        <v>2005</v>
      </c>
      <c r="N5" s="11">
        <v>2006</v>
      </c>
      <c r="O5" s="11">
        <v>2007</v>
      </c>
      <c r="P5" s="11">
        <v>2008</v>
      </c>
      <c r="Q5" s="11">
        <v>2009</v>
      </c>
      <c r="R5" s="11">
        <v>2010</v>
      </c>
      <c r="S5" s="11">
        <v>2011</v>
      </c>
      <c r="T5" s="11">
        <v>2012</v>
      </c>
      <c r="U5" s="11">
        <v>2013</v>
      </c>
      <c r="V5" s="11">
        <v>2014</v>
      </c>
      <c r="W5" s="11">
        <v>2015</v>
      </c>
      <c r="X5" s="11">
        <v>2016</v>
      </c>
      <c r="Y5" s="11">
        <v>2017</v>
      </c>
      <c r="Z5" s="11">
        <v>2018</v>
      </c>
      <c r="AA5" s="11">
        <v>2019</v>
      </c>
      <c r="AB5" s="11">
        <v>2020</v>
      </c>
      <c r="AC5" s="11">
        <v>2021</v>
      </c>
      <c r="AD5" s="11">
        <v>2022</v>
      </c>
      <c r="AE5" s="11">
        <v>2023</v>
      </c>
      <c r="AF5" s="11">
        <v>2024</v>
      </c>
      <c r="AG5" s="11" t="s">
        <v>4</v>
      </c>
      <c r="AH5" s="80" t="s">
        <v>61</v>
      </c>
      <c r="AI5" s="11" t="s">
        <v>5</v>
      </c>
      <c r="AJ5" s="11" t="s">
        <v>6</v>
      </c>
      <c r="AK5" s="15" t="s">
        <v>19</v>
      </c>
      <c r="AL5" s="11" t="s">
        <v>26</v>
      </c>
      <c r="AM5" s="11" t="s">
        <v>35</v>
      </c>
      <c r="AN5" s="11" t="s">
        <v>59</v>
      </c>
      <c r="AO5" s="50" t="s">
        <v>33</v>
      </c>
    </row>
    <row r="6" spans="1:41" ht="13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3"/>
      <c r="U6" s="8"/>
      <c r="V6" s="33" t="s">
        <v>28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8"/>
      <c r="AH6" s="8"/>
      <c r="AI6" s="31" t="s">
        <v>21</v>
      </c>
      <c r="AJ6" s="31" t="s">
        <v>22</v>
      </c>
      <c r="AK6" s="32" t="s">
        <v>23</v>
      </c>
      <c r="AL6" s="31" t="s">
        <v>27</v>
      </c>
      <c r="AM6" s="31" t="s">
        <v>38</v>
      </c>
      <c r="AN6" s="31" t="s">
        <v>60</v>
      </c>
      <c r="AO6" s="40"/>
    </row>
    <row r="7" spans="1:4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6"/>
      <c r="AJ7" s="86"/>
      <c r="AK7" s="87"/>
      <c r="AL7" s="86"/>
      <c r="AM7" s="86"/>
      <c r="AN7" s="88"/>
      <c r="AO7" s="49"/>
    </row>
    <row r="8" spans="1:41" ht="14.5" x14ac:dyDescent="0.45">
      <c r="A8" s="94" t="s">
        <v>7</v>
      </c>
      <c r="B8" s="4">
        <v>5624843</v>
      </c>
      <c r="C8" s="17">
        <f>B11</f>
        <v>5843209</v>
      </c>
      <c r="D8" s="17">
        <f t="shared" ref="D8:K8" si="0">C11</f>
        <v>5713194</v>
      </c>
      <c r="E8" s="17">
        <v>7506692</v>
      </c>
      <c r="F8" s="17">
        <f t="shared" si="0"/>
        <v>7429169</v>
      </c>
      <c r="G8" s="17">
        <v>7554457</v>
      </c>
      <c r="H8" s="19">
        <f>G11</f>
        <v>8166982</v>
      </c>
      <c r="I8" s="19">
        <f t="shared" si="0"/>
        <v>8237036</v>
      </c>
      <c r="J8" s="19">
        <f t="shared" si="0"/>
        <v>8937659</v>
      </c>
      <c r="K8" s="19">
        <f t="shared" si="0"/>
        <v>9084194</v>
      </c>
      <c r="L8" s="19">
        <v>8672529</v>
      </c>
      <c r="M8" s="21">
        <v>9969762</v>
      </c>
      <c r="N8" s="21">
        <v>10256434</v>
      </c>
      <c r="O8" s="21">
        <v>10465130</v>
      </c>
      <c r="P8" s="21">
        <v>10437196</v>
      </c>
      <c r="Q8" s="21">
        <v>10390700</v>
      </c>
      <c r="R8" s="27">
        <v>10954013</v>
      </c>
      <c r="S8" s="27">
        <v>11596561</v>
      </c>
      <c r="T8" s="27">
        <f>S11</f>
        <v>12738160</v>
      </c>
      <c r="U8" s="27">
        <f>T11</f>
        <v>14276209</v>
      </c>
      <c r="V8" s="27">
        <f>U11</f>
        <v>15825869.185369998</v>
      </c>
      <c r="W8" s="68">
        <v>18445209</v>
      </c>
      <c r="X8" s="68">
        <f>W11</f>
        <v>20438587</v>
      </c>
      <c r="Y8" s="72">
        <f>X11</f>
        <v>21801617</v>
      </c>
      <c r="Z8" s="72">
        <v>25602400</v>
      </c>
      <c r="AA8" s="72">
        <v>31018500</v>
      </c>
      <c r="AB8" s="73">
        <v>36960000</v>
      </c>
      <c r="AC8" s="73">
        <v>37053808</v>
      </c>
      <c r="AD8" s="73">
        <v>40509700</v>
      </c>
      <c r="AE8" s="73"/>
      <c r="AF8" s="73"/>
      <c r="AG8" s="4"/>
      <c r="AH8" s="4"/>
      <c r="AI8" s="89"/>
      <c r="AJ8" s="89"/>
      <c r="AK8" s="87"/>
      <c r="AL8" s="86"/>
      <c r="AM8" s="86"/>
      <c r="AN8" s="88"/>
      <c r="AO8" s="49"/>
    </row>
    <row r="9" spans="1:41" ht="15.5" x14ac:dyDescent="0.45">
      <c r="A9" s="94" t="s">
        <v>8</v>
      </c>
      <c r="B9" s="5">
        <v>770059</v>
      </c>
      <c r="C9" s="18">
        <v>371214</v>
      </c>
      <c r="D9" s="18">
        <v>4417660</v>
      </c>
      <c r="E9" s="18">
        <v>1937231</v>
      </c>
      <c r="F9" s="18">
        <v>1372260</v>
      </c>
      <c r="G9" s="18">
        <v>1616425</v>
      </c>
      <c r="H9" s="20">
        <v>1169159</v>
      </c>
      <c r="I9" s="20">
        <v>1778760</v>
      </c>
      <c r="J9" s="20">
        <v>2009815</v>
      </c>
      <c r="K9" s="20">
        <v>2175815</v>
      </c>
      <c r="L9" s="20">
        <v>3041097</v>
      </c>
      <c r="M9" s="22">
        <v>1941197</v>
      </c>
      <c r="N9" s="22">
        <v>3616509</v>
      </c>
      <c r="O9" s="22">
        <v>1483895</v>
      </c>
      <c r="P9" s="22">
        <v>1682393</v>
      </c>
      <c r="Q9" s="22">
        <v>3195580</v>
      </c>
      <c r="R9" s="28">
        <v>1962327</v>
      </c>
      <c r="S9" s="28">
        <v>2624199</v>
      </c>
      <c r="T9" s="28">
        <v>4048211</v>
      </c>
      <c r="U9" s="52">
        <v>4107213.4780700002</v>
      </c>
      <c r="V9" s="51">
        <v>4206299.8308099993</v>
      </c>
      <c r="W9" s="69">
        <v>3596998</v>
      </c>
      <c r="X9" s="69">
        <v>3090477</v>
      </c>
      <c r="Y9" s="71">
        <v>3631718.7717499998</v>
      </c>
      <c r="Z9" s="71">
        <v>4230285.6859200001</v>
      </c>
      <c r="AA9" s="71">
        <v>7517608.2804800011</v>
      </c>
      <c r="AB9" s="70">
        <v>8649972.7205223218</v>
      </c>
      <c r="AC9" s="70">
        <v>6808767.7498199996</v>
      </c>
      <c r="AD9" s="90"/>
      <c r="AE9" s="90"/>
      <c r="AF9" s="90"/>
      <c r="AG9" s="7">
        <f>SUM(B9:X9)</f>
        <v>56214794.308880001</v>
      </c>
      <c r="AH9" s="91" t="s">
        <v>62</v>
      </c>
      <c r="AI9" s="81">
        <f>SUM(C9:G9)+AG13</f>
        <v>9714881</v>
      </c>
      <c r="AJ9" s="81">
        <f>SUM(H9:L9)</f>
        <v>10174646</v>
      </c>
      <c r="AK9" s="82">
        <f>SUM(M9:Q9)</f>
        <v>11919574</v>
      </c>
      <c r="AL9" s="82">
        <f>SUM(R9:V9)</f>
        <v>16948250.308880001</v>
      </c>
      <c r="AM9" s="82">
        <f>SUM(W9:AA9)</f>
        <v>22067087.738150001</v>
      </c>
      <c r="AN9" s="83">
        <f>SUM(AB9:AF9)</f>
        <v>15458740.470342321</v>
      </c>
      <c r="AO9" s="48">
        <f>SUM(AI9:AN9)</f>
        <v>86283179.517372325</v>
      </c>
    </row>
    <row r="10" spans="1:41" ht="15.5" x14ac:dyDescent="0.45">
      <c r="A10" s="94" t="s">
        <v>9</v>
      </c>
      <c r="B10" s="5">
        <v>551693</v>
      </c>
      <c r="C10" s="18">
        <v>501229</v>
      </c>
      <c r="D10" s="18">
        <v>2624073</v>
      </c>
      <c r="E10" s="18">
        <v>2014754</v>
      </c>
      <c r="F10" s="18">
        <v>1247152</v>
      </c>
      <c r="G10" s="18">
        <v>1003900</v>
      </c>
      <c r="H10" s="20">
        <v>1099105</v>
      </c>
      <c r="I10" s="20">
        <v>1078137</v>
      </c>
      <c r="J10" s="20">
        <v>1863280</v>
      </c>
      <c r="K10" s="20">
        <v>2029280</v>
      </c>
      <c r="L10" s="20">
        <v>1743864</v>
      </c>
      <c r="M10" s="22">
        <v>1654525</v>
      </c>
      <c r="N10" s="22">
        <v>3407813</v>
      </c>
      <c r="O10" s="22">
        <v>1511829</v>
      </c>
      <c r="P10" s="22">
        <v>1728889</v>
      </c>
      <c r="Q10" s="22">
        <v>2632267</v>
      </c>
      <c r="R10" s="28">
        <v>1411885</v>
      </c>
      <c r="S10" s="28">
        <v>1482600</v>
      </c>
      <c r="T10" s="28">
        <v>2510162</v>
      </c>
      <c r="U10" s="52">
        <v>2557553.2927000001</v>
      </c>
      <c r="V10" s="51">
        <v>1586960.34405</v>
      </c>
      <c r="W10" s="69">
        <v>1603620</v>
      </c>
      <c r="X10" s="69">
        <v>1727447</v>
      </c>
      <c r="Y10" s="71">
        <v>1884068.2018599999</v>
      </c>
      <c r="Z10" s="71">
        <v>1932373.2190400001</v>
      </c>
      <c r="AA10" s="71">
        <v>2193667.0811700001</v>
      </c>
      <c r="AB10" s="70">
        <v>2767287.1170300003</v>
      </c>
      <c r="AC10" s="70">
        <v>3352875.6537000001</v>
      </c>
      <c r="AD10" s="90"/>
      <c r="AE10" s="90"/>
      <c r="AF10" s="90"/>
      <c r="AG10" s="7">
        <f>SUM(B10:X10)</f>
        <v>39572017.636749998</v>
      </c>
      <c r="AH10" s="91" t="s">
        <v>9</v>
      </c>
      <c r="AI10" s="81">
        <f>SUM(C10:G10)</f>
        <v>7391108</v>
      </c>
      <c r="AJ10" s="81">
        <f>SUM(H10:L10)</f>
        <v>7813666</v>
      </c>
      <c r="AK10" s="82">
        <f>SUM(M10:Q10)</f>
        <v>10935323</v>
      </c>
      <c r="AL10" s="82">
        <f>SUM(R10:V10)</f>
        <v>9549160.6367499996</v>
      </c>
      <c r="AM10" s="82">
        <f>SUM(W10:AA10)</f>
        <v>9341175.5020699985</v>
      </c>
      <c r="AN10" s="83">
        <f>SUM(AB10:AF10)</f>
        <v>6120162.77073</v>
      </c>
      <c r="AO10" s="48">
        <f>SUM(AI10:AN10)</f>
        <v>51150595.909549996</v>
      </c>
    </row>
    <row r="11" spans="1:41" s="2" customFormat="1" ht="13" x14ac:dyDescent="0.3">
      <c r="A11" s="95" t="s">
        <v>10</v>
      </c>
      <c r="B11" s="1">
        <f>B8+B9-B10</f>
        <v>5843209</v>
      </c>
      <c r="C11" s="1">
        <f t="shared" ref="C11:K11" si="1">C8+C9-C10</f>
        <v>5713194</v>
      </c>
      <c r="D11" s="1">
        <f t="shared" si="1"/>
        <v>7506781</v>
      </c>
      <c r="E11" s="1">
        <f t="shared" si="1"/>
        <v>7429169</v>
      </c>
      <c r="F11" s="1">
        <f t="shared" si="1"/>
        <v>7554277</v>
      </c>
      <c r="G11" s="1">
        <f t="shared" si="1"/>
        <v>8166982</v>
      </c>
      <c r="H11" s="1">
        <f t="shared" si="1"/>
        <v>8237036</v>
      </c>
      <c r="I11" s="1">
        <f t="shared" si="1"/>
        <v>8937659</v>
      </c>
      <c r="J11" s="1">
        <f t="shared" si="1"/>
        <v>9084194</v>
      </c>
      <c r="K11" s="1">
        <f t="shared" si="1"/>
        <v>9230729</v>
      </c>
      <c r="L11" s="1">
        <f t="shared" ref="L11:AF11" si="2">L8+L9-L10</f>
        <v>9969762</v>
      </c>
      <c r="M11" s="1">
        <f t="shared" si="2"/>
        <v>10256434</v>
      </c>
      <c r="N11" s="1">
        <f t="shared" si="2"/>
        <v>10465130</v>
      </c>
      <c r="O11" s="1">
        <f t="shared" si="2"/>
        <v>10437196</v>
      </c>
      <c r="P11" s="1">
        <f t="shared" si="2"/>
        <v>10390700</v>
      </c>
      <c r="Q11" s="1">
        <f t="shared" si="2"/>
        <v>10954013</v>
      </c>
      <c r="R11" s="1">
        <f t="shared" si="2"/>
        <v>11504455</v>
      </c>
      <c r="S11" s="1">
        <f t="shared" si="2"/>
        <v>12738160</v>
      </c>
      <c r="T11" s="1">
        <f t="shared" si="2"/>
        <v>14276209</v>
      </c>
      <c r="U11" s="1">
        <f t="shared" si="2"/>
        <v>15825869.185369998</v>
      </c>
      <c r="V11" s="1">
        <f t="shared" si="2"/>
        <v>18445208.672129996</v>
      </c>
      <c r="W11" s="1">
        <f t="shared" si="2"/>
        <v>20438587</v>
      </c>
      <c r="X11" s="1">
        <f t="shared" si="2"/>
        <v>21801617</v>
      </c>
      <c r="Y11" s="1">
        <f t="shared" si="2"/>
        <v>23549267.56989</v>
      </c>
      <c r="Z11" s="1">
        <f t="shared" si="2"/>
        <v>27900312.466880001</v>
      </c>
      <c r="AA11" s="1">
        <f t="shared" si="2"/>
        <v>36342441.199309997</v>
      </c>
      <c r="AB11" s="1">
        <f t="shared" si="2"/>
        <v>42842685.60349232</v>
      </c>
      <c r="AC11" s="1">
        <f t="shared" si="2"/>
        <v>40509700.09612</v>
      </c>
      <c r="AD11" s="1">
        <f t="shared" si="2"/>
        <v>40509700</v>
      </c>
      <c r="AE11" s="1">
        <f t="shared" si="2"/>
        <v>0</v>
      </c>
      <c r="AF11" s="1">
        <f t="shared" si="2"/>
        <v>0</v>
      </c>
      <c r="AG11" s="1">
        <f>B8+AG9-AG10</f>
        <v>22267619.672130004</v>
      </c>
      <c r="AH11" s="92" t="s">
        <v>63</v>
      </c>
      <c r="AI11" s="81">
        <f t="shared" ref="AI11:AN11" si="3">AI9-AI10</f>
        <v>2323773</v>
      </c>
      <c r="AJ11" s="81">
        <f t="shared" si="3"/>
        <v>2360980</v>
      </c>
      <c r="AK11" s="81">
        <f t="shared" si="3"/>
        <v>984251</v>
      </c>
      <c r="AL11" s="81">
        <f t="shared" si="3"/>
        <v>7399089.6721300017</v>
      </c>
      <c r="AM11" s="81">
        <f t="shared" si="3"/>
        <v>12725912.236080002</v>
      </c>
      <c r="AN11" s="81">
        <f t="shared" si="3"/>
        <v>9338577.6996123213</v>
      </c>
      <c r="AO11" s="48">
        <f>SUM(AI11:AN11)</f>
        <v>35132583.607822321</v>
      </c>
    </row>
    <row r="12" spans="1:41" ht="13" x14ac:dyDescent="0.3">
      <c r="A12" s="96" t="s">
        <v>11</v>
      </c>
      <c r="B12" s="5">
        <f>B11-B8</f>
        <v>218366</v>
      </c>
      <c r="C12" s="5">
        <f t="shared" ref="C12:K12" si="4">C11-C8</f>
        <v>-130015</v>
      </c>
      <c r="D12" s="5">
        <f t="shared" si="4"/>
        <v>1793587</v>
      </c>
      <c r="E12" s="5">
        <f t="shared" si="4"/>
        <v>-77523</v>
      </c>
      <c r="F12" s="5">
        <f t="shared" si="4"/>
        <v>125108</v>
      </c>
      <c r="G12" s="5">
        <f t="shared" si="4"/>
        <v>612525</v>
      </c>
      <c r="H12" s="5">
        <f t="shared" si="4"/>
        <v>70054</v>
      </c>
      <c r="I12" s="5">
        <f t="shared" si="4"/>
        <v>700623</v>
      </c>
      <c r="J12" s="5">
        <f t="shared" si="4"/>
        <v>146535</v>
      </c>
      <c r="K12" s="5">
        <f t="shared" si="4"/>
        <v>146535</v>
      </c>
      <c r="L12" s="5">
        <f t="shared" ref="L12:V12" si="5">L11-L8</f>
        <v>1297233</v>
      </c>
      <c r="M12" s="5">
        <f t="shared" si="5"/>
        <v>286672</v>
      </c>
      <c r="N12" s="5">
        <f t="shared" si="5"/>
        <v>208696</v>
      </c>
      <c r="O12" s="5">
        <f t="shared" si="5"/>
        <v>-27934</v>
      </c>
      <c r="P12" s="5">
        <f t="shared" si="5"/>
        <v>-46496</v>
      </c>
      <c r="Q12" s="5">
        <f t="shared" si="5"/>
        <v>563313</v>
      </c>
      <c r="R12" s="5">
        <f t="shared" si="5"/>
        <v>550442</v>
      </c>
      <c r="S12" s="5">
        <f t="shared" si="5"/>
        <v>1141599</v>
      </c>
      <c r="T12" s="5">
        <f t="shared" si="5"/>
        <v>1538049</v>
      </c>
      <c r="U12" s="5">
        <f t="shared" si="5"/>
        <v>1549660.1853699982</v>
      </c>
      <c r="V12" s="5">
        <f t="shared" si="5"/>
        <v>2619339.4867599979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7">
        <f>SUM(B12:AF12)</f>
        <v>13286368.672129996</v>
      </c>
      <c r="AH12" s="93"/>
      <c r="AI12" s="82"/>
      <c r="AJ12" s="82"/>
      <c r="AK12" s="82"/>
      <c r="AL12" s="82"/>
      <c r="AM12" s="82"/>
      <c r="AN12" s="82"/>
    </row>
    <row r="13" spans="1:41" ht="13" x14ac:dyDescent="0.3">
      <c r="A13" s="96" t="s">
        <v>12</v>
      </c>
      <c r="B13" s="5">
        <v>0</v>
      </c>
      <c r="C13" s="5">
        <v>0</v>
      </c>
      <c r="D13" s="5">
        <v>-89</v>
      </c>
      <c r="E13" s="5"/>
      <c r="F13" s="5">
        <v>180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7">
        <f>SUM(B13:S13)</f>
        <v>91</v>
      </c>
      <c r="AH13" s="93"/>
      <c r="AI13" s="82"/>
      <c r="AJ13" s="82"/>
      <c r="AK13" s="82"/>
      <c r="AL13" s="84"/>
      <c r="AM13" s="84"/>
      <c r="AN13" s="84"/>
    </row>
    <row r="14" spans="1:41" ht="13" x14ac:dyDescent="0.3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7"/>
      <c r="AH14" s="91" t="s">
        <v>64</v>
      </c>
      <c r="AI14" s="82">
        <f>AI11</f>
        <v>2323773</v>
      </c>
      <c r="AJ14" s="82">
        <f>AI14+AJ11</f>
        <v>4684753</v>
      </c>
      <c r="AK14" s="82">
        <f>AJ14+AK11</f>
        <v>5669004</v>
      </c>
      <c r="AL14" s="82">
        <f>AK14+AL11</f>
        <v>13068093.672130002</v>
      </c>
      <c r="AM14" s="82">
        <f>AL14+AM11</f>
        <v>25794005.908210002</v>
      </c>
      <c r="AN14" s="82">
        <f>SUM(AM14,AN11)</f>
        <v>35132583.607822321</v>
      </c>
    </row>
    <row r="15" spans="1:41" s="2" customFormat="1" ht="13" x14ac:dyDescent="0.3">
      <c r="A15" s="3" t="s">
        <v>24</v>
      </c>
      <c r="B15" s="6">
        <f>B10+B23</f>
        <v>812506</v>
      </c>
      <c r="C15" s="24">
        <f t="shared" ref="C15:V15" si="6">C10+C23</f>
        <v>764224</v>
      </c>
      <c r="D15" s="24">
        <f t="shared" si="6"/>
        <v>3057124</v>
      </c>
      <c r="E15" s="24">
        <f t="shared" si="6"/>
        <v>2444034</v>
      </c>
      <c r="F15" s="24">
        <f t="shared" si="6"/>
        <v>1686224</v>
      </c>
      <c r="G15" s="24">
        <f t="shared" si="6"/>
        <v>1499700</v>
      </c>
      <c r="H15" s="25">
        <f t="shared" si="6"/>
        <v>1680856</v>
      </c>
      <c r="I15" s="25">
        <f t="shared" si="6"/>
        <v>1658202</v>
      </c>
      <c r="J15" s="25">
        <f t="shared" si="6"/>
        <v>2452921</v>
      </c>
      <c r="K15" s="25">
        <f t="shared" si="6"/>
        <v>2614280</v>
      </c>
      <c r="L15" s="25">
        <f t="shared" si="6"/>
        <v>2424127</v>
      </c>
      <c r="M15" s="26">
        <f t="shared" si="6"/>
        <v>2419077</v>
      </c>
      <c r="N15" s="26">
        <f t="shared" si="6"/>
        <v>4191488</v>
      </c>
      <c r="O15" s="26">
        <f t="shared" si="6"/>
        <v>2287247</v>
      </c>
      <c r="P15" s="26">
        <f t="shared" si="6"/>
        <v>2515437</v>
      </c>
      <c r="Q15" s="26">
        <f t="shared" si="6"/>
        <v>3405629</v>
      </c>
      <c r="R15" s="26">
        <f t="shared" si="6"/>
        <v>2128679</v>
      </c>
      <c r="S15" s="26">
        <f t="shared" si="6"/>
        <v>2228066</v>
      </c>
      <c r="T15" s="26">
        <f t="shared" si="6"/>
        <v>3277026</v>
      </c>
      <c r="U15" s="26">
        <f t="shared" si="6"/>
        <v>3408096.3689000001</v>
      </c>
      <c r="V15" s="26">
        <f t="shared" si="6"/>
        <v>2500314.1471199999</v>
      </c>
      <c r="W15" s="26">
        <v>1964134</v>
      </c>
      <c r="X15" s="26">
        <v>2417446</v>
      </c>
      <c r="Y15" s="76">
        <v>2175418.7727800002</v>
      </c>
      <c r="Z15" s="76">
        <v>2295351.6173799997</v>
      </c>
      <c r="AA15" s="76">
        <v>2365977.7345200009</v>
      </c>
      <c r="AB15" s="76">
        <v>3534345.4673299985</v>
      </c>
      <c r="AC15" s="75">
        <v>4134906.1395399999</v>
      </c>
      <c r="AD15" s="26"/>
      <c r="AE15" s="26"/>
      <c r="AF15" s="26"/>
      <c r="AG15" s="7">
        <f>SUM(B15:AF15)</f>
        <v>68342837.247570008</v>
      </c>
      <c r="AH15" s="91" t="s">
        <v>65</v>
      </c>
      <c r="AI15" s="82">
        <f>SUM(C15:G15)</f>
        <v>9451306</v>
      </c>
      <c r="AJ15" s="82">
        <f>SUM(H15:L15)</f>
        <v>10830386</v>
      </c>
      <c r="AK15" s="82">
        <f>SUM(M15:Q15)</f>
        <v>14818878</v>
      </c>
      <c r="AL15" s="82">
        <f>SUM(R15:V15)</f>
        <v>13542181.51602</v>
      </c>
      <c r="AM15" s="82">
        <f>SUM(W15:AA15)</f>
        <v>11218328.124680001</v>
      </c>
      <c r="AN15" s="82">
        <f>SUM(AB15:AF15)</f>
        <v>7669251.6068699984</v>
      </c>
    </row>
    <row r="16" spans="1:41" ht="14" x14ac:dyDescent="0.3">
      <c r="A16" s="8" t="s">
        <v>13</v>
      </c>
      <c r="B16" s="5"/>
      <c r="C16" s="5"/>
      <c r="D16" s="5"/>
      <c r="E16" s="5"/>
      <c r="F16" s="5">
        <v>7559137</v>
      </c>
      <c r="G16" s="5">
        <v>8174337</v>
      </c>
      <c r="H16" s="5">
        <v>8209858</v>
      </c>
      <c r="I16" s="5">
        <v>8883241</v>
      </c>
      <c r="J16" s="5">
        <v>9077737</v>
      </c>
      <c r="K16" s="5">
        <v>9230729</v>
      </c>
      <c r="L16" s="5">
        <v>10026462</v>
      </c>
      <c r="M16" s="5">
        <v>10268199</v>
      </c>
      <c r="N16" s="5">
        <v>10485567</v>
      </c>
      <c r="O16" s="5">
        <v>10470664</v>
      </c>
      <c r="P16" s="5">
        <v>10437417</v>
      </c>
      <c r="Q16" s="5">
        <v>10972333</v>
      </c>
      <c r="R16" s="5">
        <v>11629489</v>
      </c>
      <c r="S16" s="5">
        <v>12814260</v>
      </c>
      <c r="T16" s="5">
        <v>14265201</v>
      </c>
      <c r="U16" s="38">
        <v>15683620.495380001</v>
      </c>
      <c r="V16" s="39">
        <v>18230966.899799999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7"/>
      <c r="AH16" s="79"/>
      <c r="AI16" s="82"/>
      <c r="AJ16" s="85"/>
      <c r="AK16" s="82"/>
      <c r="AL16" s="86"/>
      <c r="AM16" s="86"/>
      <c r="AN16" s="86"/>
    </row>
    <row r="17" spans="1:40" ht="14" x14ac:dyDescent="0.3">
      <c r="A17" s="8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9"/>
      <c r="L17" s="9">
        <v>3133</v>
      </c>
      <c r="M17" s="9">
        <v>3153.55</v>
      </c>
      <c r="N17" s="9">
        <v>3166.06</v>
      </c>
      <c r="O17" s="9">
        <v>3095.1</v>
      </c>
      <c r="P17" s="9">
        <v>3033.27</v>
      </c>
      <c r="Q17" s="9">
        <v>3135.97</v>
      </c>
      <c r="R17" s="9">
        <v>3269.87</v>
      </c>
      <c r="S17" s="9">
        <v>3545.65</v>
      </c>
      <c r="T17" s="9">
        <v>3798.3</v>
      </c>
      <c r="U17" s="41">
        <v>4040.0823801102779</v>
      </c>
      <c r="V17" s="42">
        <v>4622.05824316086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7"/>
      <c r="AH17" s="79"/>
      <c r="AI17" s="87"/>
      <c r="AJ17" s="87"/>
      <c r="AK17" s="82"/>
      <c r="AL17" s="86"/>
      <c r="AM17" s="86"/>
      <c r="AN17" s="86"/>
    </row>
    <row r="18" spans="1:40" ht="13" x14ac:dyDescent="0.3">
      <c r="A18" s="8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7"/>
      <c r="AH18" s="79"/>
      <c r="AI18" s="5"/>
      <c r="AJ18" s="5"/>
      <c r="AK18" s="6"/>
      <c r="AL18" s="8"/>
    </row>
    <row r="19" spans="1:40" ht="13" x14ac:dyDescent="0.3">
      <c r="A19" s="8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7"/>
      <c r="AH19" s="79"/>
      <c r="AI19" s="5"/>
      <c r="AJ19" s="5"/>
      <c r="AK19" s="6"/>
      <c r="AL19" s="8"/>
    </row>
    <row r="20" spans="1:40" ht="13" x14ac:dyDescent="0.3">
      <c r="A20" s="8" t="s">
        <v>15</v>
      </c>
      <c r="B20" s="5">
        <v>108508</v>
      </c>
      <c r="C20" s="5">
        <v>102511</v>
      </c>
      <c r="D20" s="5">
        <v>421380</v>
      </c>
      <c r="E20" s="5">
        <v>344522</v>
      </c>
      <c r="F20" s="5">
        <v>211149</v>
      </c>
      <c r="G20" s="5">
        <v>209895</v>
      </c>
      <c r="H20" s="5">
        <v>209621</v>
      </c>
      <c r="I20" s="5">
        <v>207298</v>
      </c>
      <c r="J20" s="5">
        <v>201521</v>
      </c>
      <c r="K20" s="5">
        <v>201521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">
        <f>SUM(B20:K20)</f>
        <v>2217926</v>
      </c>
      <c r="AH20" s="79"/>
      <c r="AI20" s="5"/>
      <c r="AJ20" s="5"/>
      <c r="AK20" s="6"/>
      <c r="AL20" s="8"/>
    </row>
    <row r="21" spans="1:40" ht="13" x14ac:dyDescent="0.3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7"/>
      <c r="AH21" s="79"/>
      <c r="AI21" s="5"/>
      <c r="AJ21" s="5"/>
      <c r="AK21" s="6"/>
      <c r="AL21" s="8"/>
    </row>
    <row r="22" spans="1:40" ht="13" x14ac:dyDescent="0.3">
      <c r="A22" s="8" t="s">
        <v>16</v>
      </c>
      <c r="B22" s="5">
        <f>B11+B13-B20</f>
        <v>5734701</v>
      </c>
      <c r="C22" s="5">
        <f t="shared" ref="C22:V22" si="7">C11+C13-C20</f>
        <v>5610683</v>
      </c>
      <c r="D22" s="5">
        <f t="shared" si="7"/>
        <v>7085312</v>
      </c>
      <c r="E22" s="5">
        <f t="shared" si="7"/>
        <v>7084647</v>
      </c>
      <c r="F22" s="5">
        <f t="shared" si="7"/>
        <v>7343308</v>
      </c>
      <c r="G22" s="5">
        <f t="shared" si="7"/>
        <v>7957087</v>
      </c>
      <c r="H22" s="5">
        <f t="shared" si="7"/>
        <v>8027415</v>
      </c>
      <c r="I22" s="5">
        <f t="shared" si="7"/>
        <v>8730361</v>
      </c>
      <c r="J22" s="5">
        <f t="shared" si="7"/>
        <v>8882673</v>
      </c>
      <c r="K22" s="5">
        <f t="shared" si="7"/>
        <v>9029208</v>
      </c>
      <c r="L22" s="5">
        <f t="shared" si="7"/>
        <v>9969762</v>
      </c>
      <c r="M22" s="5">
        <f t="shared" si="7"/>
        <v>10256434</v>
      </c>
      <c r="N22" s="5">
        <f t="shared" si="7"/>
        <v>10465130</v>
      </c>
      <c r="O22" s="5">
        <f t="shared" si="7"/>
        <v>10437196</v>
      </c>
      <c r="P22" s="5">
        <f t="shared" si="7"/>
        <v>10390700</v>
      </c>
      <c r="Q22" s="5">
        <f t="shared" si="7"/>
        <v>10954013</v>
      </c>
      <c r="R22" s="5">
        <f t="shared" si="7"/>
        <v>11504455</v>
      </c>
      <c r="S22" s="5">
        <f t="shared" si="7"/>
        <v>12738160</v>
      </c>
      <c r="T22" s="5">
        <f t="shared" si="7"/>
        <v>14276209</v>
      </c>
      <c r="U22" s="5">
        <f t="shared" si="7"/>
        <v>15825869.185369998</v>
      </c>
      <c r="V22" s="5">
        <f t="shared" si="7"/>
        <v>18445208.672129996</v>
      </c>
      <c r="W22" s="5">
        <f>W11</f>
        <v>20438587</v>
      </c>
      <c r="X22" s="5">
        <f>X11</f>
        <v>21801617</v>
      </c>
      <c r="Y22" s="5">
        <f>Y11</f>
        <v>23549267.56989</v>
      </c>
      <c r="Z22" s="5">
        <f>Z11</f>
        <v>27900312.466880001</v>
      </c>
      <c r="AA22" s="5"/>
      <c r="AB22" s="5"/>
      <c r="AC22" s="5"/>
      <c r="AD22" s="5"/>
      <c r="AE22" s="5"/>
      <c r="AF22" s="5"/>
      <c r="AG22" s="7"/>
      <c r="AH22" s="79"/>
      <c r="AI22" s="5"/>
      <c r="AJ22" s="5"/>
      <c r="AK22" s="6"/>
      <c r="AL22" s="8"/>
    </row>
    <row r="23" spans="1:40" ht="14" x14ac:dyDescent="0.3">
      <c r="A23" s="8" t="s">
        <v>17</v>
      </c>
      <c r="B23" s="5">
        <v>260813</v>
      </c>
      <c r="C23" s="18">
        <v>262995</v>
      </c>
      <c r="D23" s="18">
        <v>433051</v>
      </c>
      <c r="E23" s="18">
        <v>429280</v>
      </c>
      <c r="F23" s="18">
        <v>439072</v>
      </c>
      <c r="G23" s="18">
        <v>495800</v>
      </c>
      <c r="H23" s="20">
        <v>581751</v>
      </c>
      <c r="I23" s="20">
        <v>580065</v>
      </c>
      <c r="J23" s="20">
        <v>589641</v>
      </c>
      <c r="K23" s="20">
        <v>585000</v>
      </c>
      <c r="L23" s="20">
        <v>680263</v>
      </c>
      <c r="M23" s="18">
        <v>764552</v>
      </c>
      <c r="N23" s="18">
        <v>783675</v>
      </c>
      <c r="O23" s="18">
        <v>775418</v>
      </c>
      <c r="P23" s="18">
        <v>786548</v>
      </c>
      <c r="Q23" s="18">
        <v>773362</v>
      </c>
      <c r="R23" s="18">
        <v>716794</v>
      </c>
      <c r="S23" s="18">
        <v>745466</v>
      </c>
      <c r="T23" s="18">
        <v>766864</v>
      </c>
      <c r="U23" s="43">
        <v>850543.07620000001</v>
      </c>
      <c r="V23" s="44">
        <v>913353.80307000002</v>
      </c>
      <c r="W23" s="47">
        <v>978396</v>
      </c>
      <c r="X23" s="47"/>
      <c r="Y23" s="47"/>
      <c r="Z23" s="47"/>
      <c r="AA23" s="47"/>
      <c r="AB23" s="47"/>
      <c r="AC23" s="47"/>
      <c r="AD23" s="47"/>
      <c r="AE23" s="47"/>
      <c r="AF23" s="47"/>
      <c r="AG23" s="7">
        <f>SUM(B23:T23)</f>
        <v>11450410</v>
      </c>
      <c r="AH23" s="79"/>
      <c r="AI23" s="6">
        <f>SUM(C23:G23)</f>
        <v>2060198</v>
      </c>
      <c r="AJ23" s="6">
        <f>H23+I23+J23+K23+L23</f>
        <v>3016720</v>
      </c>
      <c r="AK23" s="6">
        <f>SUM(M23:Q23)</f>
        <v>3883555</v>
      </c>
      <c r="AL23" s="6">
        <f>SUM(R23:V23)</f>
        <v>3993020.8792699999</v>
      </c>
      <c r="AM23" s="16"/>
      <c r="AN23" s="16"/>
    </row>
    <row r="25" spans="1:40" ht="13" x14ac:dyDescent="0.3">
      <c r="A25" t="s">
        <v>20</v>
      </c>
      <c r="E25" s="16">
        <f>(B23+C23+D23+E23+F23)/5</f>
        <v>365042.2</v>
      </c>
      <c r="K25" s="16">
        <f>(H23+I23+J23+K23+L23)/5</f>
        <v>603344</v>
      </c>
      <c r="O25" s="16">
        <f>(M23+N23+O23+P23+Q23)/5</f>
        <v>776711</v>
      </c>
      <c r="AK25" s="14">
        <f>B23+AI23+AJ23+AK23</f>
        <v>9221286</v>
      </c>
    </row>
    <row r="27" spans="1:40" ht="13" x14ac:dyDescent="0.3">
      <c r="AG27" s="107"/>
      <c r="AH27" s="107"/>
      <c r="AI27" s="107"/>
    </row>
    <row r="28" spans="1:40" x14ac:dyDescent="0.25">
      <c r="AG28" s="29"/>
      <c r="AH28" s="29"/>
      <c r="AI28" s="30"/>
    </row>
    <row r="29" spans="1:40" x14ac:dyDescent="0.25">
      <c r="AG29" s="29"/>
      <c r="AH29" s="29"/>
      <c r="AI29" s="30"/>
      <c r="AK29" s="14">
        <f>AG10+AG23</f>
        <v>51022427.636749998</v>
      </c>
      <c r="AL29" s="37">
        <f>AK29/18</f>
        <v>2834579.3131527775</v>
      </c>
      <c r="AM29" s="14"/>
      <c r="AN29" s="14"/>
    </row>
    <row r="30" spans="1:40" x14ac:dyDescent="0.25">
      <c r="AG30" s="29"/>
      <c r="AH30" s="29"/>
      <c r="AI30" s="30"/>
      <c r="AK30" s="14">
        <f>AK29-AG9</f>
        <v>-5192366.6721300036</v>
      </c>
    </row>
    <row r="31" spans="1:40" x14ac:dyDescent="0.25">
      <c r="AG31" s="29"/>
      <c r="AH31" s="29"/>
      <c r="AI31" s="30"/>
    </row>
    <row r="32" spans="1:40" x14ac:dyDescent="0.25">
      <c r="AG32" s="29"/>
      <c r="AH32" s="29"/>
      <c r="AI32" s="30"/>
    </row>
    <row r="33" spans="33:35" x14ac:dyDescent="0.25">
      <c r="AG33" s="29"/>
      <c r="AH33" s="29"/>
      <c r="AI33" s="30"/>
    </row>
    <row r="34" spans="33:35" ht="13" x14ac:dyDescent="0.3">
      <c r="AG34" s="100"/>
      <c r="AH34" s="101"/>
      <c r="AI34" s="102"/>
    </row>
    <row r="35" spans="33:35" ht="13" x14ac:dyDescent="0.3">
      <c r="AG35" s="97"/>
      <c r="AH35" s="98"/>
      <c r="AI35" s="99"/>
    </row>
    <row r="38" spans="33:35" ht="13" x14ac:dyDescent="0.3">
      <c r="AG38" s="34">
        <f>14265200-92106</f>
        <v>14173094</v>
      </c>
      <c r="AH38" s="77"/>
      <c r="AI38" s="36" t="s">
        <v>29</v>
      </c>
    </row>
    <row r="39" spans="33:35" ht="13" x14ac:dyDescent="0.3">
      <c r="AG39" s="35">
        <f>U11-AG38</f>
        <v>1652775.1853699982</v>
      </c>
      <c r="AH39" s="78"/>
      <c r="AI39" s="36" t="s">
        <v>30</v>
      </c>
    </row>
    <row r="120" spans="8:9" ht="13" x14ac:dyDescent="0.3">
      <c r="H120" s="2"/>
      <c r="I120" s="12"/>
    </row>
    <row r="170" spans="9:11" x14ac:dyDescent="0.25">
      <c r="I170" s="13"/>
      <c r="J170" s="14"/>
      <c r="K170" s="13"/>
    </row>
  </sheetData>
  <mergeCells count="12">
    <mergeCell ref="AG35:AI35"/>
    <mergeCell ref="AG34:AI34"/>
    <mergeCell ref="AB4:AF4"/>
    <mergeCell ref="E2:K2"/>
    <mergeCell ref="E3:K3"/>
    <mergeCell ref="AG27:AI27"/>
    <mergeCell ref="W4:AA4"/>
    <mergeCell ref="R4:V4"/>
    <mergeCell ref="C4:G4"/>
    <mergeCell ref="H4:L4"/>
    <mergeCell ref="M4:Q4"/>
    <mergeCell ref="AH3:AN3"/>
  </mergeCells>
  <phoneticPr fontId="3" type="noConversion"/>
  <pageMargins left="1.0298611111111111" right="0.74791666666666667" top="0.98402777777777772" bottom="0.98402777777777772" header="0.51180555555555551" footer="0.51180555555555551"/>
  <pageSetup paperSize="5" scale="85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zoomScale="83" zoomScaleNormal="83" workbookViewId="0">
      <selection sqref="A1:M11"/>
    </sheetView>
  </sheetViews>
  <sheetFormatPr baseColWidth="10" defaultRowHeight="12.5" x14ac:dyDescent="0.25"/>
  <cols>
    <col min="1" max="1" width="14.453125" customWidth="1"/>
    <col min="3" max="3" width="13.81640625" customWidth="1"/>
    <col min="4" max="12" width="15.7265625" customWidth="1"/>
    <col min="13" max="13" width="15" customWidth="1"/>
  </cols>
  <sheetData>
    <row r="1" spans="1:13" ht="13.5" thickBot="1" x14ac:dyDescent="0.35">
      <c r="C1" s="106" t="s">
        <v>51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36.75" customHeight="1" thickBot="1" x14ac:dyDescent="0.35">
      <c r="C2" s="2"/>
      <c r="D2" s="64" t="s">
        <v>56</v>
      </c>
      <c r="E2" s="65" t="s">
        <v>48</v>
      </c>
      <c r="F2" s="65" t="s">
        <v>53</v>
      </c>
      <c r="G2" s="65" t="s">
        <v>52</v>
      </c>
      <c r="H2" s="66" t="s">
        <v>50</v>
      </c>
      <c r="I2" s="67" t="s">
        <v>55</v>
      </c>
      <c r="J2" s="65" t="s">
        <v>54</v>
      </c>
      <c r="K2" s="2"/>
      <c r="L2" s="2"/>
      <c r="M2" s="2"/>
    </row>
    <row r="3" spans="1:13" ht="16.5" customHeight="1" thickBot="1" x14ac:dyDescent="0.3">
      <c r="D3" s="74">
        <v>36342441</v>
      </c>
      <c r="E3" s="60">
        <v>8</v>
      </c>
      <c r="F3" s="60">
        <v>5</v>
      </c>
      <c r="G3" s="61">
        <v>12000</v>
      </c>
      <c r="H3" s="62">
        <v>45000</v>
      </c>
      <c r="I3" s="61">
        <f>G3/100*H3</f>
        <v>5400000</v>
      </c>
      <c r="J3" s="63">
        <v>0.05</v>
      </c>
    </row>
    <row r="4" spans="1:13" ht="33.75" customHeight="1" thickBot="1" x14ac:dyDescent="0.35">
      <c r="A4" s="53" t="s">
        <v>41</v>
      </c>
      <c r="B4" s="53" t="s">
        <v>40</v>
      </c>
      <c r="C4" s="56" t="s">
        <v>42</v>
      </c>
      <c r="D4" s="57" t="s">
        <v>43</v>
      </c>
      <c r="E4" s="58">
        <v>2020</v>
      </c>
      <c r="F4" s="58">
        <f>E4+1</f>
        <v>2021</v>
      </c>
      <c r="G4" s="58">
        <f t="shared" ref="G4:L4" si="0">F4+1</f>
        <v>2022</v>
      </c>
      <c r="H4" s="58">
        <f t="shared" si="0"/>
        <v>2023</v>
      </c>
      <c r="I4" s="58">
        <f t="shared" si="0"/>
        <v>2024</v>
      </c>
      <c r="J4" s="58">
        <f t="shared" si="0"/>
        <v>2025</v>
      </c>
      <c r="K4" s="58">
        <f t="shared" si="0"/>
        <v>2026</v>
      </c>
      <c r="L4" s="58">
        <f t="shared" si="0"/>
        <v>2027</v>
      </c>
      <c r="M4" s="59" t="s">
        <v>33</v>
      </c>
    </row>
    <row r="6" spans="1:13" ht="13" x14ac:dyDescent="0.3">
      <c r="A6" s="2" t="s">
        <v>39</v>
      </c>
      <c r="B6" s="14">
        <v>5843203</v>
      </c>
    </row>
    <row r="7" spans="1:13" ht="13" x14ac:dyDescent="0.3">
      <c r="A7" s="2" t="s">
        <v>21</v>
      </c>
      <c r="B7" s="14">
        <v>8166982</v>
      </c>
      <c r="C7" s="37">
        <f>B7-B6</f>
        <v>2323779</v>
      </c>
      <c r="D7" s="55" t="s">
        <v>44</v>
      </c>
      <c r="E7" s="37">
        <f>D3</f>
        <v>36342441</v>
      </c>
      <c r="F7" s="37">
        <f>E11</f>
        <v>37435114.230000004</v>
      </c>
      <c r="G7" s="37">
        <f t="shared" ref="G7:L7" si="1">F11</f>
        <v>38830567.656900004</v>
      </c>
      <c r="H7" s="37">
        <f t="shared" si="1"/>
        <v>40375884.686607003</v>
      </c>
      <c r="I7" s="37">
        <f t="shared" si="1"/>
        <v>42075561.227205217</v>
      </c>
      <c r="J7" s="37">
        <f t="shared" si="1"/>
        <v>43934228.064021371</v>
      </c>
      <c r="K7" s="37">
        <f t="shared" si="1"/>
        <v>45956654.905942015</v>
      </c>
      <c r="L7" s="37">
        <f t="shared" si="1"/>
        <v>48147754.55312027</v>
      </c>
      <c r="M7" s="54"/>
    </row>
    <row r="8" spans="1:13" ht="13" x14ac:dyDescent="0.3">
      <c r="A8" s="2" t="s">
        <v>22</v>
      </c>
      <c r="B8" s="14">
        <v>9969762</v>
      </c>
      <c r="C8" s="37">
        <f>B8-B7</f>
        <v>1802780</v>
      </c>
      <c r="D8" s="55" t="s">
        <v>45</v>
      </c>
      <c r="E8" s="37">
        <f t="shared" ref="E8:L8" si="2">($E$3/100)*E7</f>
        <v>2907395.2800000003</v>
      </c>
      <c r="F8" s="37">
        <f t="shared" si="2"/>
        <v>2994809.1384000005</v>
      </c>
      <c r="G8" s="37">
        <f t="shared" si="2"/>
        <v>3106445.4125520005</v>
      </c>
      <c r="H8" s="37">
        <f t="shared" si="2"/>
        <v>3230070.7749285605</v>
      </c>
      <c r="I8" s="37">
        <f t="shared" si="2"/>
        <v>3366044.8981764172</v>
      </c>
      <c r="J8" s="37">
        <f t="shared" si="2"/>
        <v>3514738.24512171</v>
      </c>
      <c r="K8" s="37">
        <f t="shared" si="2"/>
        <v>3676532.3924753615</v>
      </c>
      <c r="L8" s="37">
        <f t="shared" si="2"/>
        <v>3851820.3642496215</v>
      </c>
      <c r="M8" s="37">
        <f>SUM(E8:L8)</f>
        <v>26647856.505903672</v>
      </c>
    </row>
    <row r="9" spans="1:13" ht="13" x14ac:dyDescent="0.3">
      <c r="A9" s="2" t="s">
        <v>23</v>
      </c>
      <c r="B9" s="14">
        <v>10954013</v>
      </c>
      <c r="C9" s="37">
        <f>B9-B8</f>
        <v>984251</v>
      </c>
      <c r="D9" s="55" t="s">
        <v>46</v>
      </c>
      <c r="E9" s="37">
        <f>E7*($F$3/100)</f>
        <v>1817122.05</v>
      </c>
      <c r="F9" s="37">
        <f t="shared" ref="F9:L9" si="3">F7*($F$3/100)</f>
        <v>1871755.7115000002</v>
      </c>
      <c r="G9" s="37">
        <f t="shared" si="3"/>
        <v>1941528.3828450004</v>
      </c>
      <c r="H9" s="37">
        <f t="shared" si="3"/>
        <v>2018794.2343303503</v>
      </c>
      <c r="I9" s="37">
        <f t="shared" si="3"/>
        <v>2103778.0613602609</v>
      </c>
      <c r="J9" s="37">
        <f t="shared" si="3"/>
        <v>2196711.4032010688</v>
      </c>
      <c r="K9" s="37">
        <f t="shared" si="3"/>
        <v>2297832.7452971009</v>
      </c>
      <c r="L9" s="37">
        <f t="shared" si="3"/>
        <v>2407387.7276560138</v>
      </c>
      <c r="M9" s="37">
        <f>SUM(E9:L9)</f>
        <v>16654910.316189796</v>
      </c>
    </row>
    <row r="10" spans="1:13" ht="13" x14ac:dyDescent="0.3">
      <c r="A10" s="2" t="s">
        <v>27</v>
      </c>
      <c r="B10" s="14">
        <v>18445209</v>
      </c>
      <c r="C10" s="37">
        <f>B10-B9</f>
        <v>7491196</v>
      </c>
      <c r="D10" s="55" t="s">
        <v>49</v>
      </c>
      <c r="E10" s="37">
        <v>2400</v>
      </c>
      <c r="F10" s="37">
        <f>($I$3*J3)+E10</f>
        <v>272400</v>
      </c>
      <c r="G10" s="37">
        <f t="shared" ref="G10:L10" si="4">($I$3*(0.02))+F10</f>
        <v>380400</v>
      </c>
      <c r="H10" s="37">
        <f t="shared" si="4"/>
        <v>488400</v>
      </c>
      <c r="I10" s="37">
        <f t="shared" si="4"/>
        <v>596400</v>
      </c>
      <c r="J10" s="37">
        <f t="shared" si="4"/>
        <v>704400</v>
      </c>
      <c r="K10" s="37">
        <f t="shared" si="4"/>
        <v>812400</v>
      </c>
      <c r="L10" s="37">
        <f t="shared" si="4"/>
        <v>920400</v>
      </c>
      <c r="M10" s="37">
        <f>SUM(E10:L10)</f>
        <v>4177200</v>
      </c>
    </row>
    <row r="11" spans="1:13" ht="13" x14ac:dyDescent="0.3">
      <c r="A11" s="2" t="s">
        <v>38</v>
      </c>
      <c r="B11" s="14">
        <v>36342441</v>
      </c>
      <c r="C11" s="37">
        <f>B11-B10</f>
        <v>17897232</v>
      </c>
      <c r="D11" s="55" t="s">
        <v>47</v>
      </c>
      <c r="E11" s="37">
        <f t="shared" ref="E11:L11" si="5">E7+E8-E9+E10</f>
        <v>37435114.230000004</v>
      </c>
      <c r="F11" s="37">
        <f t="shared" si="5"/>
        <v>38830567.656900004</v>
      </c>
      <c r="G11" s="37">
        <f t="shared" si="5"/>
        <v>40375884.686607003</v>
      </c>
      <c r="H11" s="37">
        <f t="shared" si="5"/>
        <v>42075561.227205217</v>
      </c>
      <c r="I11" s="37">
        <f t="shared" si="5"/>
        <v>43934228.064021371</v>
      </c>
      <c r="J11" s="37">
        <f t="shared" si="5"/>
        <v>45956654.905942015</v>
      </c>
      <c r="K11" s="37">
        <f t="shared" si="5"/>
        <v>48147754.55312027</v>
      </c>
      <c r="L11" s="37">
        <f t="shared" si="5"/>
        <v>50512587.18971388</v>
      </c>
      <c r="M11" s="54"/>
    </row>
    <row r="12" spans="1:13" x14ac:dyDescent="0.25">
      <c r="B12" s="14"/>
    </row>
    <row r="13" spans="1:13" x14ac:dyDescent="0.25">
      <c r="B13" s="14"/>
    </row>
    <row r="14" spans="1:13" x14ac:dyDescent="0.25">
      <c r="B14" s="14"/>
    </row>
    <row r="15" spans="1:13" x14ac:dyDescent="0.25">
      <c r="B15" s="14"/>
    </row>
    <row r="16" spans="1:13" x14ac:dyDescent="0.25">
      <c r="B16" s="14"/>
    </row>
  </sheetData>
  <mergeCells count="1">
    <mergeCell ref="C1:M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2BD9-DF20-4F3D-B256-7D641BF137C2}">
  <dimension ref="A1:M11"/>
  <sheetViews>
    <sheetView tabSelected="1" topLeftCell="B9" zoomScale="94" zoomScaleNormal="94" workbookViewId="0">
      <selection activeCell="C19" sqref="C19"/>
    </sheetView>
  </sheetViews>
  <sheetFormatPr baseColWidth="10" defaultRowHeight="12.5" x14ac:dyDescent="0.25"/>
  <cols>
    <col min="4" max="4" width="14.54296875" customWidth="1"/>
    <col min="6" max="6" width="12.6328125" customWidth="1"/>
    <col min="7" max="7" width="13.453125" customWidth="1"/>
    <col min="9" max="9" width="14.81640625" customWidth="1"/>
    <col min="10" max="10" width="13.08984375" customWidth="1"/>
    <col min="13" max="13" width="12.26953125" customWidth="1"/>
  </cols>
  <sheetData>
    <row r="1" spans="1:13" ht="13" thickBot="1" x14ac:dyDescent="0.3">
      <c r="A1" s="122"/>
      <c r="B1" s="122"/>
      <c r="C1" s="123" t="s">
        <v>51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42.5" thickBot="1" x14ac:dyDescent="0.3">
      <c r="A2" s="122"/>
      <c r="B2" s="122"/>
      <c r="C2" s="124"/>
      <c r="D2" s="125" t="s">
        <v>56</v>
      </c>
      <c r="E2" s="126" t="s">
        <v>48</v>
      </c>
      <c r="F2" s="126" t="s">
        <v>53</v>
      </c>
      <c r="G2" s="126" t="s">
        <v>52</v>
      </c>
      <c r="H2" s="127" t="s">
        <v>50</v>
      </c>
      <c r="I2" s="126" t="s">
        <v>55</v>
      </c>
      <c r="J2" s="126" t="s">
        <v>54</v>
      </c>
      <c r="K2" s="124"/>
      <c r="L2" s="124"/>
      <c r="M2" s="124"/>
    </row>
    <row r="3" spans="1:13" ht="13" thickBot="1" x14ac:dyDescent="0.3">
      <c r="A3" s="122"/>
      <c r="B3" s="122"/>
      <c r="C3" s="122"/>
      <c r="D3" s="128">
        <v>45500000</v>
      </c>
      <c r="E3" s="129">
        <v>8</v>
      </c>
      <c r="F3" s="129">
        <v>5</v>
      </c>
      <c r="G3" s="130">
        <v>12000</v>
      </c>
      <c r="H3" s="131">
        <v>45000</v>
      </c>
      <c r="I3" s="130">
        <f>G3/100*H3</f>
        <v>5400000</v>
      </c>
      <c r="J3" s="132">
        <v>0.05</v>
      </c>
      <c r="K3" s="122"/>
      <c r="L3" s="122"/>
      <c r="M3" s="122"/>
    </row>
    <row r="4" spans="1:13" ht="32" thickBot="1" x14ac:dyDescent="0.3">
      <c r="A4" s="133" t="s">
        <v>41</v>
      </c>
      <c r="B4" s="133" t="s">
        <v>40</v>
      </c>
      <c r="C4" s="134" t="s">
        <v>42</v>
      </c>
      <c r="D4" s="135" t="s">
        <v>43</v>
      </c>
      <c r="E4" s="136">
        <v>2024</v>
      </c>
      <c r="F4" s="136">
        <f>E4+1</f>
        <v>2025</v>
      </c>
      <c r="G4" s="136">
        <f t="shared" ref="G4:L4" si="0">F4+1</f>
        <v>2026</v>
      </c>
      <c r="H4" s="136">
        <f t="shared" si="0"/>
        <v>2027</v>
      </c>
      <c r="I4" s="136">
        <f t="shared" si="0"/>
        <v>2028</v>
      </c>
      <c r="J4" s="136">
        <f t="shared" si="0"/>
        <v>2029</v>
      </c>
      <c r="K4" s="136">
        <f t="shared" si="0"/>
        <v>2030</v>
      </c>
      <c r="L4" s="136">
        <f t="shared" si="0"/>
        <v>2031</v>
      </c>
      <c r="M4" s="135" t="s">
        <v>33</v>
      </c>
    </row>
    <row r="6" spans="1:13" x14ac:dyDescent="0.25">
      <c r="A6" s="124" t="s">
        <v>39</v>
      </c>
      <c r="B6" s="14">
        <v>5843203</v>
      </c>
    </row>
    <row r="7" spans="1:13" x14ac:dyDescent="0.25">
      <c r="A7" s="124" t="s">
        <v>21</v>
      </c>
      <c r="B7" s="14">
        <v>8166982</v>
      </c>
      <c r="C7" s="37">
        <f>B7-B6</f>
        <v>2323779</v>
      </c>
      <c r="D7" s="137" t="s">
        <v>44</v>
      </c>
      <c r="E7" s="37">
        <f>D3</f>
        <v>45500000</v>
      </c>
      <c r="F7" s="37">
        <f>E11</f>
        <v>46867400</v>
      </c>
      <c r="G7" s="37">
        <f t="shared" ref="G7:L7" si="1">F11</f>
        <v>48545822</v>
      </c>
      <c r="H7" s="37">
        <f t="shared" si="1"/>
        <v>50382596.659999996</v>
      </c>
      <c r="I7" s="37">
        <f t="shared" si="1"/>
        <v>52382474.559799999</v>
      </c>
      <c r="J7" s="37">
        <f t="shared" si="1"/>
        <v>54550348.796593994</v>
      </c>
      <c r="K7" s="37">
        <f t="shared" si="1"/>
        <v>56891259.260491811</v>
      </c>
      <c r="L7" s="37">
        <f t="shared" si="1"/>
        <v>59410397.038306564</v>
      </c>
      <c r="M7" s="54"/>
    </row>
    <row r="8" spans="1:13" x14ac:dyDescent="0.25">
      <c r="A8" s="124" t="s">
        <v>22</v>
      </c>
      <c r="B8" s="14">
        <v>9969762</v>
      </c>
      <c r="C8" s="37">
        <f>B8-B7</f>
        <v>1802780</v>
      </c>
      <c r="D8" s="137" t="s">
        <v>45</v>
      </c>
      <c r="E8" s="37">
        <f t="shared" ref="E8:L8" si="2">($E$3/100)*E7</f>
        <v>3640000</v>
      </c>
      <c r="F8" s="37">
        <f t="shared" si="2"/>
        <v>3749392</v>
      </c>
      <c r="G8" s="37">
        <f t="shared" si="2"/>
        <v>3883665.7600000002</v>
      </c>
      <c r="H8" s="37">
        <f t="shared" si="2"/>
        <v>4030607.7327999999</v>
      </c>
      <c r="I8" s="37">
        <f t="shared" si="2"/>
        <v>4190597.9647840001</v>
      </c>
      <c r="J8" s="37">
        <f t="shared" si="2"/>
        <v>4364027.9037275193</v>
      </c>
      <c r="K8" s="37">
        <f t="shared" si="2"/>
        <v>4551300.7408393454</v>
      </c>
      <c r="L8" s="37">
        <f t="shared" si="2"/>
        <v>4752831.7630645251</v>
      </c>
      <c r="M8" s="37">
        <f>SUM(E8:L8)</f>
        <v>33162423.865215391</v>
      </c>
    </row>
    <row r="9" spans="1:13" x14ac:dyDescent="0.25">
      <c r="A9" s="124" t="s">
        <v>23</v>
      </c>
      <c r="B9" s="14">
        <v>10954013</v>
      </c>
      <c r="C9" s="37">
        <f>B9-B8</f>
        <v>984251</v>
      </c>
      <c r="D9" s="137" t="s">
        <v>46</v>
      </c>
      <c r="E9" s="37">
        <f>E7*($F$3/100)</f>
        <v>2275000</v>
      </c>
      <c r="F9" s="37">
        <f t="shared" ref="F9:L9" si="3">F7*($F$3/100)</f>
        <v>2343370</v>
      </c>
      <c r="G9" s="37">
        <f t="shared" si="3"/>
        <v>2427291.1</v>
      </c>
      <c r="H9" s="37">
        <f t="shared" si="3"/>
        <v>2519129.8330000001</v>
      </c>
      <c r="I9" s="37">
        <f t="shared" si="3"/>
        <v>2619123.72799</v>
      </c>
      <c r="J9" s="37">
        <f t="shared" si="3"/>
        <v>2727517.4398296997</v>
      </c>
      <c r="K9" s="37">
        <f t="shared" si="3"/>
        <v>2844562.9630245906</v>
      </c>
      <c r="L9" s="37">
        <f t="shared" si="3"/>
        <v>2970519.8519153283</v>
      </c>
      <c r="M9" s="37">
        <f>SUM(E9:L9)</f>
        <v>20726514.915759619</v>
      </c>
    </row>
    <row r="10" spans="1:13" x14ac:dyDescent="0.25">
      <c r="A10" s="124" t="s">
        <v>27</v>
      </c>
      <c r="B10" s="14">
        <v>18445209</v>
      </c>
      <c r="C10" s="37">
        <f>B10-B9</f>
        <v>7491196</v>
      </c>
      <c r="D10" s="137" t="s">
        <v>49</v>
      </c>
      <c r="E10" s="37">
        <v>2400</v>
      </c>
      <c r="F10" s="37">
        <f>($I$3*J3)+E10</f>
        <v>272400</v>
      </c>
      <c r="G10" s="37">
        <f t="shared" ref="G10:L10" si="4">($I$3*(0.02))+F10</f>
        <v>380400</v>
      </c>
      <c r="H10" s="37">
        <f t="shared" si="4"/>
        <v>488400</v>
      </c>
      <c r="I10" s="37">
        <f t="shared" si="4"/>
        <v>596400</v>
      </c>
      <c r="J10" s="37">
        <f t="shared" si="4"/>
        <v>704400</v>
      </c>
      <c r="K10" s="37">
        <f t="shared" si="4"/>
        <v>812400</v>
      </c>
      <c r="L10" s="37">
        <f t="shared" si="4"/>
        <v>920400</v>
      </c>
      <c r="M10" s="37">
        <f>SUM(E10:L10)</f>
        <v>4177200</v>
      </c>
    </row>
    <row r="11" spans="1:13" x14ac:dyDescent="0.25">
      <c r="A11" s="124" t="s">
        <v>38</v>
      </c>
      <c r="B11" s="14">
        <v>36342441</v>
      </c>
      <c r="C11" s="37">
        <f>B11-B10</f>
        <v>17897232</v>
      </c>
      <c r="D11" s="137" t="s">
        <v>66</v>
      </c>
      <c r="E11" s="37">
        <f t="shared" ref="E11:L11" si="5">E7+E8-E9+E10</f>
        <v>46867400</v>
      </c>
      <c r="F11" s="37">
        <f t="shared" si="5"/>
        <v>48545822</v>
      </c>
      <c r="G11" s="37">
        <f t="shared" si="5"/>
        <v>50382596.659999996</v>
      </c>
      <c r="H11" s="37">
        <f t="shared" si="5"/>
        <v>52382474.559799999</v>
      </c>
      <c r="I11" s="37">
        <f t="shared" si="5"/>
        <v>54550348.796593994</v>
      </c>
      <c r="J11" s="37">
        <f t="shared" si="5"/>
        <v>56891259.260491811</v>
      </c>
      <c r="K11" s="37">
        <f t="shared" si="5"/>
        <v>59410397.038306564</v>
      </c>
      <c r="L11" s="37">
        <f t="shared" si="5"/>
        <v>62113108.94945576</v>
      </c>
      <c r="M11" s="54"/>
    </row>
  </sheetData>
  <mergeCells count="1">
    <mergeCell ref="C1:M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"/>
  <sheetViews>
    <sheetView topLeftCell="A48" zoomScale="68" zoomScaleNormal="68" workbookViewId="0">
      <selection activeCell="V8" sqref="V8"/>
    </sheetView>
  </sheetViews>
  <sheetFormatPr baseColWidth="10" defaultRowHeight="12.5" x14ac:dyDescent="0.25"/>
  <sheetData>
    <row r="1" spans="1:19" ht="15.5" x14ac:dyDescent="0.3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</sheetData>
  <mergeCells count="1">
    <mergeCell ref="A1:S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61" zoomScale="72" zoomScaleNormal="72" workbookViewId="0">
      <selection activeCell="T34" sqref="T34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SALDOS DEUDA</vt:lpstr>
      <vt:lpstr>RESUMEN 1994-2019</vt:lpstr>
      <vt:lpstr>RESUMEN 2020-2024</vt:lpstr>
      <vt:lpstr>GRÁFICAS AL 2014</vt:lpstr>
      <vt:lpstr>GRÁFICAS 2019</vt:lpstr>
      <vt:lpstr>'RESUMEN 1994-2019'!Área_de_impresión</vt:lpstr>
      <vt:lpstr>'SALDOS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Padre</dc:creator>
  <cp:lastModifiedBy>Jorge Karica Castillo</cp:lastModifiedBy>
  <cp:lastPrinted>2019-04-28T01:35:03Z</cp:lastPrinted>
  <dcterms:created xsi:type="dcterms:W3CDTF">2009-06-03T19:49:49Z</dcterms:created>
  <dcterms:modified xsi:type="dcterms:W3CDTF">2023-10-23T21:44:06Z</dcterms:modified>
</cp:coreProperties>
</file>